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621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  <sheet name="CoverCropGroup" sheetId="7" r:id="rId6"/>
    <sheet name="GrainCropGroup" sheetId="8" r:id="rId7"/>
    <sheet name="SD&amp;SE" sheetId="9" r:id="rId8"/>
    <sheet name="ReadMe" sheetId="6" r:id="rId9"/>
  </sheets>
  <definedNames>
    <definedName name="_xlnm._FilterDatabase" localSheetId="0" hidden="1">Sheet1!$T$1:$T$1820</definedName>
  </definedNames>
  <calcPr calcId="144525"/>
</workbook>
</file>

<file path=xl/calcChain.xml><?xml version="1.0" encoding="utf-8"?>
<calcChain xmlns="http://schemas.openxmlformats.org/spreadsheetml/2006/main">
  <c r="W1780" i="1" l="1"/>
  <c r="I1780" i="1"/>
  <c r="H1780" i="1"/>
  <c r="W1779" i="1"/>
  <c r="I1779" i="1"/>
  <c r="H1779" i="1"/>
  <c r="W1778" i="1"/>
  <c r="I1778" i="1"/>
  <c r="H1778" i="1"/>
  <c r="W1777" i="1"/>
  <c r="I1777" i="1"/>
  <c r="H1777" i="1"/>
  <c r="W1776" i="1"/>
  <c r="I1776" i="1"/>
  <c r="H1776" i="1"/>
  <c r="W1775" i="1"/>
  <c r="I1775" i="1"/>
  <c r="H1775" i="1"/>
  <c r="N35" i="3" l="1"/>
  <c r="FI1504" i="1" l="1"/>
  <c r="FI1503" i="1"/>
  <c r="FI1502" i="1"/>
  <c r="FI1501" i="1"/>
  <c r="FH1504" i="1"/>
  <c r="FH1503" i="1"/>
  <c r="FH1502" i="1"/>
  <c r="FH1501" i="1"/>
  <c r="FH1500" i="1"/>
  <c r="CR60" i="1"/>
  <c r="CQ60" i="1"/>
  <c r="CR58" i="1"/>
  <c r="CQ58" i="1"/>
  <c r="DJ64" i="1"/>
  <c r="DI64" i="1"/>
  <c r="DJ63" i="1"/>
  <c r="DI63" i="1"/>
  <c r="DJ62" i="1"/>
  <c r="DJ61" i="1"/>
  <c r="DI62" i="1"/>
  <c r="DI61" i="1"/>
  <c r="DY91" i="1" l="1"/>
  <c r="DX91" i="1"/>
  <c r="DY90" i="1"/>
  <c r="DX90" i="1"/>
  <c r="DQ242" i="1" l="1"/>
  <c r="DC734" i="1"/>
  <c r="DC735" i="1"/>
  <c r="DC736" i="1"/>
  <c r="BM908" i="1" l="1"/>
  <c r="BS908" i="1"/>
  <c r="BT908" i="1"/>
  <c r="DV91" i="1"/>
  <c r="DU91" i="1"/>
  <c r="DV90" i="1"/>
  <c r="DU90" i="1"/>
  <c r="BE4" i="1" l="1"/>
  <c r="E57" i="1"/>
  <c r="BJ57" i="1"/>
  <c r="BK57" i="1"/>
  <c r="CQ57" i="1"/>
  <c r="CR57" i="1"/>
  <c r="E58" i="1"/>
  <c r="BJ58" i="1"/>
  <c r="BK58" i="1"/>
  <c r="E59" i="1"/>
  <c r="BJ59" i="1"/>
  <c r="BK59" i="1"/>
  <c r="CQ59" i="1"/>
  <c r="CR59" i="1"/>
  <c r="E60" i="1"/>
  <c r="BJ60" i="1"/>
  <c r="BK60" i="1"/>
  <c r="E61" i="1"/>
  <c r="BJ61" i="1"/>
  <c r="BK61" i="1"/>
  <c r="E62" i="1"/>
  <c r="BJ62" i="1"/>
  <c r="BK62" i="1"/>
  <c r="E63" i="1"/>
  <c r="BJ63" i="1"/>
  <c r="BK63" i="1"/>
  <c r="E64" i="1"/>
  <c r="BJ64" i="1"/>
  <c r="BK64" i="1"/>
  <c r="BJ65" i="1"/>
  <c r="CH65" i="1"/>
  <c r="CI65" i="1"/>
  <c r="BJ66" i="1"/>
  <c r="CH66" i="1"/>
  <c r="CI66" i="1"/>
  <c r="BJ67" i="1"/>
  <c r="CH67" i="1"/>
  <c r="CI67" i="1"/>
  <c r="BJ68" i="1"/>
  <c r="CH68" i="1"/>
  <c r="CI68" i="1"/>
  <c r="BJ69" i="1"/>
  <c r="CH69" i="1"/>
  <c r="CI69" i="1"/>
  <c r="BJ70" i="1"/>
  <c r="CH70" i="1"/>
  <c r="CI70" i="1"/>
  <c r="BJ71" i="1"/>
  <c r="CH71" i="1"/>
  <c r="CI71" i="1"/>
  <c r="BJ72" i="1"/>
  <c r="CH72" i="1"/>
  <c r="CI72" i="1"/>
  <c r="BJ73" i="1"/>
  <c r="BJ74" i="1"/>
  <c r="BJ75" i="1"/>
  <c r="BJ76" i="1"/>
  <c r="BJ77" i="1"/>
  <c r="BJ78" i="1"/>
  <c r="BJ79" i="1"/>
  <c r="BJ80" i="1"/>
  <c r="X81" i="1"/>
  <c r="Y81" i="1"/>
  <c r="AW81" i="1"/>
  <c r="X82" i="1"/>
  <c r="Y82" i="1"/>
  <c r="AW82" i="1"/>
  <c r="X83" i="1"/>
  <c r="Y83" i="1"/>
  <c r="AW83" i="1"/>
  <c r="X84" i="1"/>
  <c r="Y84" i="1"/>
  <c r="AW84" i="1"/>
  <c r="X85" i="1"/>
  <c r="Y85" i="1"/>
  <c r="AB85" i="1"/>
  <c r="EY85" i="1"/>
  <c r="EZ85" i="1"/>
  <c r="FA85" i="1"/>
  <c r="X86" i="1"/>
  <c r="Y86" i="1"/>
  <c r="AB86" i="1"/>
  <c r="EY86" i="1"/>
  <c r="EZ86" i="1"/>
  <c r="FA86" i="1"/>
  <c r="X87" i="1"/>
  <c r="Y87" i="1"/>
  <c r="AB87" i="1"/>
  <c r="EY87" i="1"/>
  <c r="EZ87" i="1"/>
  <c r="FA87" i="1"/>
  <c r="X88" i="1"/>
  <c r="Y88" i="1"/>
  <c r="AB88" i="1"/>
  <c r="EY88" i="1"/>
  <c r="EZ88" i="1"/>
  <c r="FA88" i="1"/>
  <c r="X89" i="1"/>
  <c r="Y89" i="1"/>
  <c r="AB89" i="1"/>
  <c r="EY89" i="1"/>
  <c r="EZ89" i="1"/>
  <c r="FA89" i="1"/>
  <c r="H90" i="1"/>
  <c r="I90" i="1"/>
  <c r="AW90" i="1"/>
  <c r="BD90" i="1"/>
  <c r="BE90" i="1"/>
  <c r="DO90" i="1"/>
  <c r="DP90" i="1"/>
  <c r="H91" i="1"/>
  <c r="I91" i="1"/>
  <c r="AW91" i="1"/>
  <c r="BD91" i="1"/>
  <c r="BE91" i="1"/>
  <c r="DO91" i="1"/>
  <c r="DP91" i="1"/>
  <c r="H92" i="1"/>
  <c r="I92" i="1"/>
  <c r="X92" i="1"/>
  <c r="Y92" i="1"/>
  <c r="CH92" i="1"/>
  <c r="CI92" i="1"/>
  <c r="CQ92" i="1"/>
  <c r="CR92" i="1"/>
  <c r="H93" i="1"/>
  <c r="I93" i="1"/>
  <c r="X93" i="1"/>
  <c r="Y93" i="1"/>
  <c r="CH93" i="1"/>
  <c r="CI93" i="1"/>
  <c r="CQ93" i="1"/>
  <c r="CR93" i="1"/>
  <c r="H94" i="1"/>
  <c r="I94" i="1"/>
  <c r="X94" i="1"/>
  <c r="Y94" i="1"/>
  <c r="CH94" i="1"/>
  <c r="CI94" i="1"/>
  <c r="CQ94" i="1"/>
  <c r="CR94" i="1"/>
  <c r="H95" i="1"/>
  <c r="I95" i="1"/>
  <c r="X95" i="1"/>
  <c r="Y95" i="1"/>
  <c r="CH95" i="1"/>
  <c r="CI95" i="1"/>
  <c r="CQ95" i="1"/>
  <c r="CR95" i="1"/>
  <c r="H96" i="1"/>
  <c r="I96" i="1"/>
  <c r="X96" i="1"/>
  <c r="Y96" i="1"/>
  <c r="CH96" i="1"/>
  <c r="CI96" i="1"/>
  <c r="CQ96" i="1"/>
  <c r="CR96" i="1"/>
  <c r="H97" i="1"/>
  <c r="I97" i="1"/>
  <c r="X97" i="1"/>
  <c r="Y97" i="1"/>
  <c r="CH97" i="1"/>
  <c r="CI97" i="1"/>
  <c r="CQ97" i="1"/>
  <c r="CR97" i="1"/>
  <c r="BD98" i="1"/>
  <c r="BE98" i="1"/>
  <c r="BD101" i="1"/>
  <c r="BE101" i="1"/>
  <c r="BD104" i="1"/>
  <c r="BE104" i="1"/>
  <c r="BD107" i="1"/>
  <c r="BE107" i="1"/>
  <c r="X110" i="1"/>
  <c r="Y110" i="1"/>
  <c r="EG110" i="1"/>
  <c r="EH110" i="1"/>
  <c r="X111" i="1"/>
  <c r="Y111" i="1"/>
  <c r="EG111" i="1"/>
  <c r="EH111" i="1"/>
  <c r="X112" i="1"/>
  <c r="Y112" i="1"/>
  <c r="EG112" i="1"/>
  <c r="EH112" i="1"/>
  <c r="X113" i="1"/>
  <c r="Y113" i="1"/>
  <c r="EG113" i="1"/>
  <c r="EH113" i="1"/>
  <c r="X114" i="1"/>
  <c r="Y114" i="1"/>
  <c r="EG114" i="1"/>
  <c r="EH114" i="1"/>
  <c r="X115" i="1"/>
  <c r="Y115" i="1"/>
  <c r="EG115" i="1"/>
  <c r="EH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BD128" i="1"/>
  <c r="BE128" i="1"/>
  <c r="DI128" i="1"/>
  <c r="DJ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D150" i="1"/>
  <c r="BE150" i="1"/>
  <c r="BD151" i="1"/>
  <c r="BE151" i="1"/>
  <c r="I152" i="1"/>
  <c r="W152" i="1"/>
  <c r="AV152" i="1"/>
  <c r="AX152" i="1"/>
  <c r="BJ152" i="1"/>
  <c r="BM152" i="1" s="1"/>
  <c r="BK152" i="1"/>
  <c r="BN152" i="1" s="1"/>
  <c r="EY152" i="1"/>
  <c r="EZ152" i="1"/>
  <c r="FH152" i="1"/>
  <c r="FI152" i="1"/>
  <c r="FK152" i="1"/>
  <c r="FL152" i="1"/>
  <c r="I153" i="1"/>
  <c r="W153" i="1"/>
  <c r="AV153" i="1"/>
  <c r="AX153" i="1"/>
  <c r="BJ153" i="1"/>
  <c r="BM153" i="1" s="1"/>
  <c r="BK153" i="1"/>
  <c r="BN153" i="1" s="1"/>
  <c r="EY153" i="1"/>
  <c r="EZ153" i="1"/>
  <c r="FH153" i="1"/>
  <c r="FI153" i="1"/>
  <c r="FK153" i="1"/>
  <c r="FL153" i="1"/>
  <c r="I154" i="1"/>
  <c r="W154" i="1"/>
  <c r="AV154" i="1"/>
  <c r="AX154" i="1"/>
  <c r="BJ154" i="1"/>
  <c r="BM154" i="1" s="1"/>
  <c r="BK154" i="1"/>
  <c r="BN154" i="1" s="1"/>
  <c r="EY154" i="1"/>
  <c r="EZ154" i="1"/>
  <c r="FH154" i="1"/>
  <c r="FI154" i="1"/>
  <c r="FK154" i="1"/>
  <c r="FL154" i="1"/>
  <c r="I155" i="1"/>
  <c r="W155" i="1"/>
  <c r="AV155" i="1"/>
  <c r="AX155" i="1"/>
  <c r="BJ155" i="1"/>
  <c r="BM155" i="1" s="1"/>
  <c r="BK155" i="1"/>
  <c r="BN155" i="1" s="1"/>
  <c r="EY155" i="1"/>
  <c r="EZ155" i="1"/>
  <c r="FH155" i="1"/>
  <c r="FI155" i="1"/>
  <c r="FK155" i="1"/>
  <c r="FL155" i="1"/>
  <c r="I156" i="1"/>
  <c r="W156" i="1"/>
  <c r="AV156" i="1"/>
  <c r="AX156" i="1"/>
  <c r="BJ156" i="1"/>
  <c r="BM156" i="1" s="1"/>
  <c r="BK156" i="1"/>
  <c r="BN156" i="1" s="1"/>
  <c r="EY156" i="1"/>
  <c r="EZ156" i="1"/>
  <c r="FH156" i="1"/>
  <c r="FI156" i="1"/>
  <c r="FK156" i="1"/>
  <c r="FL156" i="1"/>
  <c r="I157" i="1"/>
  <c r="W157" i="1"/>
  <c r="AV157" i="1"/>
  <c r="AX157" i="1"/>
  <c r="BJ157" i="1"/>
  <c r="BM157" i="1" s="1"/>
  <c r="BK157" i="1"/>
  <c r="BN157" i="1" s="1"/>
  <c r="EY157" i="1"/>
  <c r="EZ157" i="1"/>
  <c r="FH157" i="1"/>
  <c r="FI157" i="1"/>
  <c r="FL157" i="1"/>
  <c r="I158" i="1"/>
  <c r="W158" i="1"/>
  <c r="AV158" i="1"/>
  <c r="AX158" i="1"/>
  <c r="BJ158" i="1"/>
  <c r="BM158" i="1" s="1"/>
  <c r="BK158" i="1"/>
  <c r="BN158" i="1" s="1"/>
  <c r="EY158" i="1"/>
  <c r="EZ158" i="1"/>
  <c r="FH158" i="1"/>
  <c r="FI158" i="1"/>
  <c r="FL158" i="1"/>
  <c r="I159" i="1"/>
  <c r="W159" i="1"/>
  <c r="AV159" i="1"/>
  <c r="AX159" i="1"/>
  <c r="BJ159" i="1"/>
  <c r="BM159" i="1" s="1"/>
  <c r="BK159" i="1"/>
  <c r="BN159" i="1" s="1"/>
  <c r="EY159" i="1"/>
  <c r="EZ159" i="1"/>
  <c r="FH159" i="1"/>
  <c r="FI159" i="1"/>
  <c r="FL159" i="1"/>
  <c r="I160" i="1"/>
  <c r="W160" i="1"/>
  <c r="AV160" i="1"/>
  <c r="AX160" i="1"/>
  <c r="BJ160" i="1"/>
  <c r="BM160" i="1" s="1"/>
  <c r="BK160" i="1"/>
  <c r="BN160" i="1" s="1"/>
  <c r="EY160" i="1"/>
  <c r="EZ160" i="1"/>
  <c r="FH160" i="1"/>
  <c r="FI160" i="1"/>
  <c r="FL160" i="1"/>
  <c r="I161" i="1"/>
  <c r="W161" i="1"/>
  <c r="AV161" i="1"/>
  <c r="AX161" i="1"/>
  <c r="BJ161" i="1"/>
  <c r="BM161" i="1" s="1"/>
  <c r="BK161" i="1"/>
  <c r="BN161" i="1" s="1"/>
  <c r="EY161" i="1"/>
  <c r="EZ161" i="1"/>
  <c r="FH161" i="1"/>
  <c r="FI161" i="1"/>
  <c r="FL161" i="1"/>
  <c r="I162" i="1"/>
  <c r="W162" i="1"/>
  <c r="AV162" i="1"/>
  <c r="AX162" i="1"/>
  <c r="BJ162" i="1"/>
  <c r="BM162" i="1" s="1"/>
  <c r="BK162" i="1"/>
  <c r="BN162" i="1" s="1"/>
  <c r="EY162" i="1"/>
  <c r="EZ162" i="1"/>
  <c r="FH162" i="1"/>
  <c r="FI162" i="1"/>
  <c r="FL162" i="1"/>
  <c r="I163" i="1"/>
  <c r="W163" i="1"/>
  <c r="AV163" i="1"/>
  <c r="AX163" i="1"/>
  <c r="BJ163" i="1"/>
  <c r="BM163" i="1" s="1"/>
  <c r="BK163" i="1"/>
  <c r="BN163" i="1" s="1"/>
  <c r="EY163" i="1"/>
  <c r="EZ163" i="1"/>
  <c r="FH163" i="1"/>
  <c r="FI163" i="1"/>
  <c r="FL163" i="1"/>
  <c r="I164" i="1"/>
  <c r="W164" i="1"/>
  <c r="AV164" i="1"/>
  <c r="AX164" i="1"/>
  <c r="BJ164" i="1"/>
  <c r="BM164" i="1" s="1"/>
  <c r="BK164" i="1"/>
  <c r="BN164" i="1" s="1"/>
  <c r="EY164" i="1"/>
  <c r="EZ164" i="1"/>
  <c r="FH164" i="1"/>
  <c r="FI164" i="1"/>
  <c r="FL164" i="1"/>
  <c r="I165" i="1"/>
  <c r="W165" i="1"/>
  <c r="AV165" i="1"/>
  <c r="AX165" i="1"/>
  <c r="BJ165" i="1"/>
  <c r="BM165" i="1" s="1"/>
  <c r="BK165" i="1"/>
  <c r="BN165" i="1" s="1"/>
  <c r="EY165" i="1"/>
  <c r="EZ165" i="1"/>
  <c r="FH165" i="1"/>
  <c r="FI165" i="1"/>
  <c r="FL165" i="1"/>
  <c r="I166" i="1"/>
  <c r="W166" i="1"/>
  <c r="AV166" i="1"/>
  <c r="AX166" i="1"/>
  <c r="BJ166" i="1"/>
  <c r="BM166" i="1" s="1"/>
  <c r="BK166" i="1"/>
  <c r="BN166" i="1" s="1"/>
  <c r="EY166" i="1"/>
  <c r="EZ166" i="1"/>
  <c r="FH166" i="1"/>
  <c r="FI166" i="1"/>
  <c r="FL166" i="1"/>
  <c r="I167" i="1"/>
  <c r="W167" i="1"/>
  <c r="AV167" i="1"/>
  <c r="AX167" i="1"/>
  <c r="BJ167" i="1"/>
  <c r="BM167" i="1" s="1"/>
  <c r="BK167" i="1"/>
  <c r="BN167" i="1" s="1"/>
  <c r="EY167" i="1"/>
  <c r="EZ167" i="1"/>
  <c r="FH167" i="1"/>
  <c r="FI167" i="1"/>
  <c r="FL167" i="1"/>
  <c r="I168" i="1"/>
  <c r="W168" i="1"/>
  <c r="AV168" i="1"/>
  <c r="AX168" i="1"/>
  <c r="BJ168" i="1"/>
  <c r="BM168" i="1" s="1"/>
  <c r="BK168" i="1"/>
  <c r="BN168" i="1" s="1"/>
  <c r="EY168" i="1"/>
  <c r="EZ168" i="1"/>
  <c r="FH168" i="1"/>
  <c r="FI168" i="1"/>
  <c r="FL168" i="1"/>
  <c r="I169" i="1"/>
  <c r="W169" i="1"/>
  <c r="AV169" i="1"/>
  <c r="AX169" i="1"/>
  <c r="BJ169" i="1"/>
  <c r="BM169" i="1" s="1"/>
  <c r="BK169" i="1"/>
  <c r="BN169" i="1" s="1"/>
  <c r="EY169" i="1"/>
  <c r="EZ169" i="1"/>
  <c r="FH169" i="1"/>
  <c r="FI169" i="1"/>
  <c r="FL169" i="1"/>
  <c r="I170" i="1"/>
  <c r="W170" i="1"/>
  <c r="AV170" i="1"/>
  <c r="AX170" i="1"/>
  <c r="BJ170" i="1"/>
  <c r="BM170" i="1" s="1"/>
  <c r="BK170" i="1"/>
  <c r="BN170" i="1" s="1"/>
  <c r="EY170" i="1"/>
  <c r="EZ170" i="1"/>
  <c r="FH170" i="1"/>
  <c r="FI170" i="1"/>
  <c r="FL170" i="1"/>
  <c r="I171" i="1"/>
  <c r="W171" i="1"/>
  <c r="AV171" i="1"/>
  <c r="AX171" i="1"/>
  <c r="BJ171" i="1"/>
  <c r="BM171" i="1" s="1"/>
  <c r="BK171" i="1"/>
  <c r="BN171" i="1" s="1"/>
  <c r="EY171" i="1"/>
  <c r="EZ171" i="1"/>
  <c r="FH171" i="1"/>
  <c r="FI171" i="1"/>
  <c r="FL171" i="1"/>
  <c r="H217" i="1"/>
  <c r="I217" i="1"/>
  <c r="AW217" i="1"/>
  <c r="BD217" i="1"/>
  <c r="BE217" i="1"/>
  <c r="DO217" i="1"/>
  <c r="DP217" i="1"/>
  <c r="H218" i="1"/>
  <c r="I218" i="1"/>
  <c r="BD218" i="1"/>
  <c r="BE218" i="1"/>
  <c r="DO218" i="1"/>
  <c r="DP218" i="1"/>
  <c r="BD219" i="1"/>
  <c r="BE219" i="1"/>
  <c r="DO219" i="1"/>
  <c r="DP219" i="1"/>
  <c r="BD220" i="1"/>
  <c r="BE220" i="1"/>
  <c r="DO220" i="1"/>
  <c r="DP220" i="1"/>
  <c r="H221" i="1"/>
  <c r="I221" i="1"/>
  <c r="BD221" i="1"/>
  <c r="BE221" i="1"/>
  <c r="DO221" i="1"/>
  <c r="DP221" i="1"/>
  <c r="H222" i="1"/>
  <c r="I222" i="1"/>
  <c r="BD222" i="1"/>
  <c r="BE222" i="1"/>
  <c r="DO222" i="1"/>
  <c r="DP222" i="1"/>
  <c r="W223" i="1"/>
  <c r="BG223" i="1"/>
  <c r="BH223" i="1"/>
  <c r="CK223" i="1"/>
  <c r="CL223" i="1"/>
  <c r="CT223" i="1"/>
  <c r="CU223" i="1"/>
  <c r="DI223" i="1"/>
  <c r="DJ223" i="1"/>
  <c r="W224" i="1"/>
  <c r="BG224" i="1"/>
  <c r="BH224" i="1"/>
  <c r="CK224" i="1"/>
  <c r="CL224" i="1"/>
  <c r="CT224" i="1"/>
  <c r="CU224" i="1"/>
  <c r="DI224" i="1"/>
  <c r="DJ224" i="1"/>
  <c r="W225" i="1"/>
  <c r="BG225" i="1"/>
  <c r="BH225" i="1"/>
  <c r="CK225" i="1"/>
  <c r="CL225" i="1"/>
  <c r="CT225" i="1"/>
  <c r="CU225" i="1"/>
  <c r="DI225" i="1"/>
  <c r="DJ225" i="1"/>
  <c r="H226" i="1"/>
  <c r="I226" i="1"/>
  <c r="BM226" i="1"/>
  <c r="DQ226" i="1"/>
  <c r="H227" i="1"/>
  <c r="I227" i="1"/>
  <c r="BM227" i="1"/>
  <c r="DQ227" i="1"/>
  <c r="H228" i="1"/>
  <c r="I228" i="1"/>
  <c r="BM228" i="1"/>
  <c r="DQ228" i="1"/>
  <c r="H229" i="1"/>
  <c r="I229" i="1"/>
  <c r="BM229" i="1"/>
  <c r="DQ229" i="1"/>
  <c r="H230" i="1"/>
  <c r="I230" i="1"/>
  <c r="BM230" i="1"/>
  <c r="DQ230" i="1"/>
  <c r="H231" i="1"/>
  <c r="I231" i="1"/>
  <c r="BM231" i="1"/>
  <c r="DQ231" i="1"/>
  <c r="H232" i="1"/>
  <c r="I232" i="1"/>
  <c r="BM232" i="1"/>
  <c r="DQ232" i="1"/>
  <c r="H233" i="1"/>
  <c r="I233" i="1"/>
  <c r="BM233" i="1"/>
  <c r="DQ233" i="1"/>
  <c r="H234" i="1"/>
  <c r="I234" i="1"/>
  <c r="BM234" i="1"/>
  <c r="DQ234" i="1"/>
  <c r="H235" i="1"/>
  <c r="I235" i="1"/>
  <c r="BM235" i="1"/>
  <c r="DQ235" i="1"/>
  <c r="H236" i="1"/>
  <c r="I236" i="1"/>
  <c r="BM236" i="1"/>
  <c r="DQ236" i="1"/>
  <c r="H237" i="1"/>
  <c r="I237" i="1"/>
  <c r="BM237" i="1"/>
  <c r="DQ237" i="1"/>
  <c r="H238" i="1"/>
  <c r="I238" i="1"/>
  <c r="BM238" i="1"/>
  <c r="DQ238" i="1"/>
  <c r="H239" i="1"/>
  <c r="I239" i="1"/>
  <c r="BM239" i="1"/>
  <c r="DQ239" i="1"/>
  <c r="H240" i="1"/>
  <c r="I240" i="1"/>
  <c r="BM240" i="1"/>
  <c r="DQ240" i="1"/>
  <c r="H241" i="1"/>
  <c r="I241" i="1"/>
  <c r="BM241" i="1"/>
  <c r="DQ241" i="1"/>
  <c r="H242" i="1"/>
  <c r="I242" i="1"/>
  <c r="H243" i="1"/>
  <c r="I243" i="1"/>
  <c r="BM243" i="1"/>
  <c r="DQ243" i="1"/>
  <c r="H244" i="1"/>
  <c r="I244" i="1"/>
  <c r="BM244" i="1"/>
  <c r="DQ244" i="1"/>
  <c r="H245" i="1"/>
  <c r="I245" i="1"/>
  <c r="BM245" i="1"/>
  <c r="DQ245" i="1"/>
  <c r="H246" i="1"/>
  <c r="I246" i="1"/>
  <c r="BM246" i="1"/>
  <c r="DQ246" i="1"/>
  <c r="H247" i="1"/>
  <c r="I247" i="1"/>
  <c r="BM247" i="1"/>
  <c r="DQ247" i="1"/>
  <c r="H248" i="1"/>
  <c r="I248" i="1"/>
  <c r="BM248" i="1"/>
  <c r="DQ248" i="1"/>
  <c r="H249" i="1"/>
  <c r="I249" i="1"/>
  <c r="BM249" i="1"/>
  <c r="DQ249" i="1"/>
  <c r="H250" i="1"/>
  <c r="I250" i="1"/>
  <c r="BM250" i="1"/>
  <c r="DQ250" i="1"/>
  <c r="H251" i="1"/>
  <c r="I251" i="1"/>
  <c r="BM251" i="1"/>
  <c r="DQ251" i="1"/>
  <c r="H252" i="1"/>
  <c r="I252" i="1"/>
  <c r="BM252" i="1"/>
  <c r="DQ252" i="1"/>
  <c r="H253" i="1"/>
  <c r="I253" i="1"/>
  <c r="BM253" i="1"/>
  <c r="DQ253" i="1"/>
  <c r="H254" i="1"/>
  <c r="I254" i="1"/>
  <c r="BM254" i="1"/>
  <c r="DQ254" i="1"/>
  <c r="H255" i="1"/>
  <c r="I255" i="1"/>
  <c r="BM255" i="1"/>
  <c r="DQ255" i="1"/>
  <c r="H256" i="1"/>
  <c r="I256" i="1"/>
  <c r="BM256" i="1"/>
  <c r="DQ256" i="1"/>
  <c r="H257" i="1"/>
  <c r="I257" i="1"/>
  <c r="BM257" i="1"/>
  <c r="DQ257" i="1"/>
  <c r="H258" i="1"/>
  <c r="I258" i="1"/>
  <c r="BM258" i="1"/>
  <c r="DQ258" i="1"/>
  <c r="H259" i="1"/>
  <c r="I259" i="1"/>
  <c r="BM259" i="1"/>
  <c r="DQ259" i="1"/>
  <c r="AW288" i="1"/>
  <c r="AX288" i="1"/>
  <c r="BD288" i="1"/>
  <c r="BE288" i="1"/>
  <c r="BJ288" i="1"/>
  <c r="BM288" i="1"/>
  <c r="AW289" i="1"/>
  <c r="AX289" i="1"/>
  <c r="BD289" i="1"/>
  <c r="BE289" i="1"/>
  <c r="BJ289" i="1"/>
  <c r="BM289" i="1"/>
  <c r="AW290" i="1"/>
  <c r="AX290" i="1"/>
  <c r="BD290" i="1"/>
  <c r="BE290" i="1"/>
  <c r="BJ290" i="1"/>
  <c r="BM290" i="1"/>
  <c r="AW291" i="1"/>
  <c r="AX291" i="1"/>
  <c r="BD291" i="1"/>
  <c r="BE291" i="1"/>
  <c r="BJ291" i="1"/>
  <c r="BM291" i="1"/>
  <c r="AW292" i="1"/>
  <c r="AX292" i="1"/>
  <c r="BD292" i="1"/>
  <c r="BE292" i="1"/>
  <c r="BJ292" i="1"/>
  <c r="BM292" i="1"/>
  <c r="AW293" i="1"/>
  <c r="AX293" i="1"/>
  <c r="BD293" i="1"/>
  <c r="BE293" i="1"/>
  <c r="BM293" i="1"/>
  <c r="AW294" i="1"/>
  <c r="AX294" i="1"/>
  <c r="BD294" i="1"/>
  <c r="BE294" i="1"/>
  <c r="BM294" i="1"/>
  <c r="AW295" i="1"/>
  <c r="AX295" i="1"/>
  <c r="BD295" i="1"/>
  <c r="BE295" i="1"/>
  <c r="BM295" i="1"/>
  <c r="AW296" i="1"/>
  <c r="AX296" i="1"/>
  <c r="BD296" i="1"/>
  <c r="BE296" i="1"/>
  <c r="BM296" i="1"/>
  <c r="AW297" i="1"/>
  <c r="AX297" i="1"/>
  <c r="BD297" i="1"/>
  <c r="BE297" i="1"/>
  <c r="BM297" i="1"/>
  <c r="AW298" i="1"/>
  <c r="AX298" i="1"/>
  <c r="BD298" i="1"/>
  <c r="BE298" i="1"/>
  <c r="BM298" i="1"/>
  <c r="AW299" i="1"/>
  <c r="AX299" i="1"/>
  <c r="BD299" i="1"/>
  <c r="BE299" i="1"/>
  <c r="BM299" i="1"/>
  <c r="AW300" i="1"/>
  <c r="AX300" i="1"/>
  <c r="BD300" i="1"/>
  <c r="BE300" i="1"/>
  <c r="BM300" i="1"/>
  <c r="AW301" i="1"/>
  <c r="AX301" i="1"/>
  <c r="BD301" i="1"/>
  <c r="BE301" i="1"/>
  <c r="BM301" i="1"/>
  <c r="AW302" i="1"/>
  <c r="AX302" i="1"/>
  <c r="BD302" i="1"/>
  <c r="BE302" i="1"/>
  <c r="BM302" i="1"/>
  <c r="AW303" i="1"/>
  <c r="AX303" i="1"/>
  <c r="BD303" i="1"/>
  <c r="BE303" i="1"/>
  <c r="AW304" i="1"/>
  <c r="AX304" i="1"/>
  <c r="BD304" i="1"/>
  <c r="BE304" i="1"/>
  <c r="AW305" i="1"/>
  <c r="AX305" i="1"/>
  <c r="BD305" i="1"/>
  <c r="BE305" i="1"/>
  <c r="AW306" i="1"/>
  <c r="AX306" i="1"/>
  <c r="BD306" i="1"/>
  <c r="BE306" i="1"/>
  <c r="AW307" i="1"/>
  <c r="AX307" i="1"/>
  <c r="BD307" i="1"/>
  <c r="BE307" i="1"/>
  <c r="AW308" i="1"/>
  <c r="AX308" i="1"/>
  <c r="BD308" i="1"/>
  <c r="BE308" i="1"/>
  <c r="AW309" i="1"/>
  <c r="AX309" i="1"/>
  <c r="BD309" i="1"/>
  <c r="BE309" i="1"/>
  <c r="AW310" i="1"/>
  <c r="AX310" i="1"/>
  <c r="BD310" i="1"/>
  <c r="BE310" i="1"/>
  <c r="AW311" i="1"/>
  <c r="AX311" i="1"/>
  <c r="BD311" i="1"/>
  <c r="BE311" i="1"/>
  <c r="AW312" i="1"/>
  <c r="AX312" i="1"/>
  <c r="BD312" i="1"/>
  <c r="BE312" i="1"/>
  <c r="AW313" i="1"/>
  <c r="AX313" i="1"/>
  <c r="BD313" i="1"/>
  <c r="BE313" i="1"/>
  <c r="AW314" i="1"/>
  <c r="AX314" i="1"/>
  <c r="BD314" i="1"/>
  <c r="BE314" i="1"/>
  <c r="AW315" i="1"/>
  <c r="AX315" i="1"/>
  <c r="BD315" i="1"/>
  <c r="BE315" i="1"/>
  <c r="AW316" i="1"/>
  <c r="AX316" i="1"/>
  <c r="BD316" i="1"/>
  <c r="BE316" i="1"/>
  <c r="AW317" i="1"/>
  <c r="AX317" i="1"/>
  <c r="BD317" i="1"/>
  <c r="BE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W424" i="1"/>
  <c r="AW424" i="1"/>
  <c r="AX424" i="1" s="1"/>
  <c r="BD424" i="1"/>
  <c r="BE424" i="1"/>
  <c r="BG424" i="1"/>
  <c r="BH424" i="1"/>
  <c r="BJ424" i="1"/>
  <c r="CT424" i="1"/>
  <c r="CU424" i="1"/>
  <c r="W425" i="1"/>
  <c r="AW425" i="1"/>
  <c r="AX425" i="1" s="1"/>
  <c r="BD425" i="1"/>
  <c r="BE425" i="1"/>
  <c r="BJ425" i="1"/>
  <c r="W426" i="1"/>
  <c r="AW426" i="1"/>
  <c r="AX426" i="1" s="1"/>
  <c r="BD426" i="1"/>
  <c r="BE426" i="1"/>
  <c r="BJ426" i="1"/>
  <c r="W427" i="1"/>
  <c r="AW427" i="1"/>
  <c r="AX427" i="1" s="1"/>
  <c r="BD427" i="1"/>
  <c r="BE427" i="1"/>
  <c r="CT427" i="1"/>
  <c r="CU427" i="1"/>
  <c r="W428" i="1"/>
  <c r="AW428" i="1"/>
  <c r="AX428" i="1" s="1"/>
  <c r="BD428" i="1"/>
  <c r="BE428" i="1"/>
  <c r="W429" i="1"/>
  <c r="AW429" i="1"/>
  <c r="AX429" i="1" s="1"/>
  <c r="BD429" i="1"/>
  <c r="BE429" i="1"/>
  <c r="W430" i="1"/>
  <c r="AW430" i="1"/>
  <c r="AX430" i="1" s="1"/>
  <c r="BD430" i="1"/>
  <c r="BE430" i="1"/>
  <c r="CT430" i="1"/>
  <c r="CU430" i="1"/>
  <c r="W431" i="1"/>
  <c r="AW431" i="1"/>
  <c r="AX431" i="1" s="1"/>
  <c r="BD431" i="1"/>
  <c r="BE431" i="1"/>
  <c r="W432" i="1"/>
  <c r="AW432" i="1"/>
  <c r="AX432" i="1" s="1"/>
  <c r="BD432" i="1"/>
  <c r="BE432" i="1"/>
  <c r="H433" i="1"/>
  <c r="I433" i="1"/>
  <c r="X433" i="1"/>
  <c r="Y433" i="1"/>
  <c r="BJ433" i="1"/>
  <c r="CH433" i="1"/>
  <c r="H434" i="1"/>
  <c r="I434" i="1"/>
  <c r="X434" i="1"/>
  <c r="Y434" i="1"/>
  <c r="CH434" i="1"/>
  <c r="H435" i="1"/>
  <c r="I435" i="1"/>
  <c r="X435" i="1"/>
  <c r="Y435" i="1"/>
  <c r="CH435" i="1"/>
  <c r="H436" i="1"/>
  <c r="I436" i="1"/>
  <c r="X436" i="1"/>
  <c r="Y436" i="1"/>
  <c r="CH436" i="1"/>
  <c r="H437" i="1"/>
  <c r="I437" i="1"/>
  <c r="AW437" i="1"/>
  <c r="AX437" i="1" s="1"/>
  <c r="H438" i="1"/>
  <c r="I438" i="1"/>
  <c r="AW438" i="1"/>
  <c r="AX438" i="1" s="1"/>
  <c r="H439" i="1"/>
  <c r="I439" i="1"/>
  <c r="AW439" i="1"/>
  <c r="AX439" i="1" s="1"/>
  <c r="H440" i="1"/>
  <c r="I440" i="1"/>
  <c r="AW440" i="1"/>
  <c r="AX440" i="1" s="1"/>
  <c r="H441" i="1"/>
  <c r="I441" i="1"/>
  <c r="AW441" i="1"/>
  <c r="AX441" i="1" s="1"/>
  <c r="H442" i="1"/>
  <c r="I442" i="1"/>
  <c r="AW442" i="1"/>
  <c r="AX442" i="1" s="1"/>
  <c r="H443" i="1"/>
  <c r="I443" i="1"/>
  <c r="AW443" i="1"/>
  <c r="AX443" i="1" s="1"/>
  <c r="H444" i="1"/>
  <c r="I444" i="1"/>
  <c r="AW444" i="1"/>
  <c r="AX444" i="1" s="1"/>
  <c r="H445" i="1"/>
  <c r="I445" i="1"/>
  <c r="AW445" i="1"/>
  <c r="AX445" i="1" s="1"/>
  <c r="H446" i="1"/>
  <c r="I446" i="1"/>
  <c r="AW446" i="1"/>
  <c r="AX446" i="1" s="1"/>
  <c r="H447" i="1"/>
  <c r="I447" i="1"/>
  <c r="AW447" i="1"/>
  <c r="AX447" i="1" s="1"/>
  <c r="H448" i="1"/>
  <c r="I448" i="1"/>
  <c r="AW448" i="1"/>
  <c r="AX448" i="1" s="1"/>
  <c r="H449" i="1"/>
  <c r="I449" i="1"/>
  <c r="AW449" i="1"/>
  <c r="AX449" i="1" s="1"/>
  <c r="H450" i="1"/>
  <c r="I450" i="1"/>
  <c r="AW450" i="1"/>
  <c r="AX450" i="1" s="1"/>
  <c r="H451" i="1"/>
  <c r="I451" i="1"/>
  <c r="AW451" i="1"/>
  <c r="AX451" i="1" s="1"/>
  <c r="H452" i="1"/>
  <c r="I452" i="1"/>
  <c r="AW452" i="1"/>
  <c r="AX452" i="1" s="1"/>
  <c r="H453" i="1"/>
  <c r="I453" i="1"/>
  <c r="AW453" i="1"/>
  <c r="AX453" i="1" s="1"/>
  <c r="H454" i="1"/>
  <c r="I454" i="1"/>
  <c r="AW454" i="1"/>
  <c r="AX454" i="1" s="1"/>
  <c r="H455" i="1"/>
  <c r="I455" i="1"/>
  <c r="AW455" i="1"/>
  <c r="AX455" i="1" s="1"/>
  <c r="H456" i="1"/>
  <c r="I456" i="1"/>
  <c r="AW456" i="1"/>
  <c r="AX456" i="1" s="1"/>
  <c r="H457" i="1"/>
  <c r="I457" i="1"/>
  <c r="AW457" i="1"/>
  <c r="AX457" i="1" s="1"/>
  <c r="H458" i="1"/>
  <c r="I458" i="1"/>
  <c r="AW458" i="1"/>
  <c r="AX458" i="1" s="1"/>
  <c r="H459" i="1"/>
  <c r="I459" i="1"/>
  <c r="AW459" i="1"/>
  <c r="AX459" i="1" s="1"/>
  <c r="H460" i="1"/>
  <c r="I460" i="1"/>
  <c r="AW460" i="1"/>
  <c r="AX460" i="1" s="1"/>
  <c r="H461" i="1"/>
  <c r="I461" i="1"/>
  <c r="AW461" i="1"/>
  <c r="AX461" i="1" s="1"/>
  <c r="H462" i="1"/>
  <c r="I462" i="1"/>
  <c r="AW462" i="1"/>
  <c r="AX462" i="1" s="1"/>
  <c r="H463" i="1"/>
  <c r="I463" i="1"/>
  <c r="AW463" i="1"/>
  <c r="AX463" i="1" s="1"/>
  <c r="H464" i="1"/>
  <c r="I464" i="1"/>
  <c r="AW464" i="1"/>
  <c r="AX464" i="1" s="1"/>
  <c r="H465" i="1"/>
  <c r="I465" i="1"/>
  <c r="AW465" i="1"/>
  <c r="AX465" i="1" s="1"/>
  <c r="H466" i="1"/>
  <c r="I466" i="1"/>
  <c r="AW466" i="1"/>
  <c r="AX466" i="1" s="1"/>
  <c r="H467" i="1"/>
  <c r="I467" i="1"/>
  <c r="AW467" i="1"/>
  <c r="AX467" i="1" s="1"/>
  <c r="H468" i="1"/>
  <c r="I468" i="1"/>
  <c r="AW468" i="1"/>
  <c r="AX468" i="1" s="1"/>
  <c r="H469" i="1"/>
  <c r="I469" i="1"/>
  <c r="AW469" i="1"/>
  <c r="AX469" i="1" s="1"/>
  <c r="H470" i="1"/>
  <c r="I470" i="1"/>
  <c r="AW470" i="1"/>
  <c r="AX470" i="1" s="1"/>
  <c r="H471" i="1"/>
  <c r="I471" i="1"/>
  <c r="AW471" i="1"/>
  <c r="AX471" i="1" s="1"/>
  <c r="H472" i="1"/>
  <c r="I472" i="1"/>
  <c r="AW472" i="1"/>
  <c r="AX472" i="1" s="1"/>
  <c r="H473" i="1"/>
  <c r="I473" i="1"/>
  <c r="AW473" i="1"/>
  <c r="AX473" i="1" s="1"/>
  <c r="H474" i="1"/>
  <c r="I474" i="1"/>
  <c r="AW474" i="1"/>
  <c r="AX474" i="1" s="1"/>
  <c r="H475" i="1"/>
  <c r="I475" i="1"/>
  <c r="AW475" i="1"/>
  <c r="AX475" i="1" s="1"/>
  <c r="H476" i="1"/>
  <c r="I476" i="1"/>
  <c r="AW476" i="1"/>
  <c r="AX476" i="1" s="1"/>
  <c r="H477" i="1"/>
  <c r="I477" i="1"/>
  <c r="AW477" i="1"/>
  <c r="AX477" i="1" s="1"/>
  <c r="H478" i="1"/>
  <c r="I478" i="1"/>
  <c r="AW478" i="1"/>
  <c r="AX478" i="1" s="1"/>
  <c r="H479" i="1"/>
  <c r="I479" i="1"/>
  <c r="AW479" i="1"/>
  <c r="AX479" i="1" s="1"/>
  <c r="H480" i="1"/>
  <c r="I480" i="1"/>
  <c r="AW480" i="1"/>
  <c r="AX480" i="1" s="1"/>
  <c r="H481" i="1"/>
  <c r="I481" i="1"/>
  <c r="AW481" i="1"/>
  <c r="AX481" i="1" s="1"/>
  <c r="H482" i="1"/>
  <c r="I482" i="1"/>
  <c r="AW482" i="1"/>
  <c r="AX482" i="1" s="1"/>
  <c r="H483" i="1"/>
  <c r="I483" i="1"/>
  <c r="AW483" i="1"/>
  <c r="AX483" i="1" s="1"/>
  <c r="H484" i="1"/>
  <c r="I484" i="1"/>
  <c r="AW484" i="1"/>
  <c r="AX484" i="1" s="1"/>
  <c r="H485" i="1"/>
  <c r="I485" i="1"/>
  <c r="AW485" i="1"/>
  <c r="AX485" i="1" s="1"/>
  <c r="H486" i="1"/>
  <c r="I486" i="1"/>
  <c r="AW486" i="1"/>
  <c r="AX486" i="1" s="1"/>
  <c r="H487" i="1"/>
  <c r="I487" i="1"/>
  <c r="AW487" i="1"/>
  <c r="AX487" i="1" s="1"/>
  <c r="H488" i="1"/>
  <c r="I488" i="1"/>
  <c r="AW488" i="1"/>
  <c r="AX488" i="1" s="1"/>
  <c r="H489" i="1"/>
  <c r="I489" i="1"/>
  <c r="AW489" i="1"/>
  <c r="AX489" i="1" s="1"/>
  <c r="H490" i="1"/>
  <c r="I490" i="1"/>
  <c r="AW490" i="1"/>
  <c r="AX490" i="1" s="1"/>
  <c r="H491" i="1"/>
  <c r="I491" i="1"/>
  <c r="AW491" i="1"/>
  <c r="AX491" i="1" s="1"/>
  <c r="H492" i="1"/>
  <c r="I492" i="1"/>
  <c r="AW492" i="1"/>
  <c r="AX492" i="1" s="1"/>
  <c r="H493" i="1"/>
  <c r="I493" i="1"/>
  <c r="AW493" i="1"/>
  <c r="AX493" i="1" s="1"/>
  <c r="H494" i="1"/>
  <c r="I494" i="1"/>
  <c r="AW494" i="1"/>
  <c r="AX494" i="1" s="1"/>
  <c r="H495" i="1"/>
  <c r="I495" i="1"/>
  <c r="AW495" i="1"/>
  <c r="AX495" i="1" s="1"/>
  <c r="H496" i="1"/>
  <c r="I496" i="1"/>
  <c r="AW496" i="1"/>
  <c r="AX496" i="1" s="1"/>
  <c r="H497" i="1"/>
  <c r="I497" i="1"/>
  <c r="AW497" i="1"/>
  <c r="AX497" i="1" s="1"/>
  <c r="H498" i="1"/>
  <c r="I498" i="1"/>
  <c r="AW498" i="1"/>
  <c r="AX498" i="1" s="1"/>
  <c r="H499" i="1"/>
  <c r="I499" i="1"/>
  <c r="AW499" i="1"/>
  <c r="AX499" i="1" s="1"/>
  <c r="H500" i="1"/>
  <c r="I500" i="1"/>
  <c r="AW500" i="1"/>
  <c r="AX500" i="1" s="1"/>
  <c r="H501" i="1"/>
  <c r="I501" i="1"/>
  <c r="AW501" i="1"/>
  <c r="AX501" i="1" s="1"/>
  <c r="H502" i="1"/>
  <c r="I502" i="1"/>
  <c r="AW502" i="1"/>
  <c r="AX502" i="1" s="1"/>
  <c r="H503" i="1"/>
  <c r="I503" i="1"/>
  <c r="AW503" i="1"/>
  <c r="AX503" i="1" s="1"/>
  <c r="H504" i="1"/>
  <c r="I504" i="1"/>
  <c r="AW504" i="1"/>
  <c r="AX504" i="1" s="1"/>
  <c r="H505" i="1"/>
  <c r="I505" i="1"/>
  <c r="AW505" i="1"/>
  <c r="AX505" i="1" s="1"/>
  <c r="H506" i="1"/>
  <c r="I506" i="1"/>
  <c r="AW506" i="1"/>
  <c r="AX506" i="1" s="1"/>
  <c r="H507" i="1"/>
  <c r="I507" i="1"/>
  <c r="AW507" i="1"/>
  <c r="AX507" i="1" s="1"/>
  <c r="H508" i="1"/>
  <c r="I508" i="1"/>
  <c r="AW508" i="1"/>
  <c r="AX508" i="1" s="1"/>
  <c r="H509" i="1"/>
  <c r="I509" i="1"/>
  <c r="AW509" i="1"/>
  <c r="AX509" i="1" s="1"/>
  <c r="H510" i="1"/>
  <c r="I510" i="1"/>
  <c r="AW510" i="1"/>
  <c r="AX510" i="1" s="1"/>
  <c r="H511" i="1"/>
  <c r="I511" i="1"/>
  <c r="AW511" i="1"/>
  <c r="AX511" i="1" s="1"/>
  <c r="H512" i="1"/>
  <c r="I512" i="1"/>
  <c r="AW512" i="1"/>
  <c r="AX512" i="1" s="1"/>
  <c r="H513" i="1"/>
  <c r="I513" i="1"/>
  <c r="AW513" i="1"/>
  <c r="AX513" i="1" s="1"/>
  <c r="H514" i="1"/>
  <c r="I514" i="1"/>
  <c r="AW514" i="1"/>
  <c r="AX514" i="1" s="1"/>
  <c r="H515" i="1"/>
  <c r="I515" i="1"/>
  <c r="AW515" i="1"/>
  <c r="AX515" i="1" s="1"/>
  <c r="H516" i="1"/>
  <c r="I516" i="1"/>
  <c r="AW516" i="1"/>
  <c r="AX516" i="1" s="1"/>
  <c r="H517" i="1"/>
  <c r="I517" i="1"/>
  <c r="AW517" i="1"/>
  <c r="AX517" i="1" s="1"/>
  <c r="H518" i="1"/>
  <c r="I518" i="1"/>
  <c r="AW518" i="1"/>
  <c r="AX518" i="1" s="1"/>
  <c r="H519" i="1"/>
  <c r="I519" i="1"/>
  <c r="AW519" i="1"/>
  <c r="AX519" i="1" s="1"/>
  <c r="H520" i="1"/>
  <c r="I520" i="1"/>
  <c r="AW520" i="1"/>
  <c r="AX520" i="1" s="1"/>
  <c r="H521" i="1"/>
  <c r="I521" i="1"/>
  <c r="DO521" i="1"/>
  <c r="H522" i="1"/>
  <c r="I522" i="1"/>
  <c r="DO522" i="1"/>
  <c r="H523" i="1"/>
  <c r="I523" i="1"/>
  <c r="DO523" i="1"/>
  <c r="H524" i="1"/>
  <c r="I524" i="1"/>
  <c r="H525" i="1"/>
  <c r="I525" i="1"/>
  <c r="H526" i="1"/>
  <c r="I526" i="1"/>
  <c r="H527" i="1"/>
  <c r="I527" i="1"/>
  <c r="Y527" i="1"/>
  <c r="X527" i="1" s="1"/>
  <c r="AA527" i="1"/>
  <c r="AB527" i="1"/>
  <c r="CT527" i="1"/>
  <c r="CU527" i="1"/>
  <c r="H528" i="1"/>
  <c r="I528" i="1"/>
  <c r="Y528" i="1"/>
  <c r="X528" i="1" s="1"/>
  <c r="AA528" i="1"/>
  <c r="AB528" i="1"/>
  <c r="CT528" i="1"/>
  <c r="CU528" i="1"/>
  <c r="H529" i="1"/>
  <c r="I529" i="1"/>
  <c r="Y529" i="1"/>
  <c r="X529" i="1" s="1"/>
  <c r="AA529" i="1"/>
  <c r="AB529" i="1"/>
  <c r="CT529" i="1"/>
  <c r="CU529" i="1"/>
  <c r="H530" i="1"/>
  <c r="I530" i="1"/>
  <c r="W530" i="1"/>
  <c r="AA530" i="1"/>
  <c r="FH530" i="1"/>
  <c r="FI530" i="1"/>
  <c r="H531" i="1"/>
  <c r="I531" i="1"/>
  <c r="W531" i="1"/>
  <c r="AA531" i="1"/>
  <c r="FH531" i="1"/>
  <c r="FI531" i="1"/>
  <c r="H532" i="1"/>
  <c r="I532" i="1"/>
  <c r="W532" i="1"/>
  <c r="AA532" i="1"/>
  <c r="FH532" i="1"/>
  <c r="FI532" i="1"/>
  <c r="H533" i="1"/>
  <c r="I533" i="1"/>
  <c r="W533" i="1"/>
  <c r="AA533" i="1"/>
  <c r="FH533" i="1"/>
  <c r="FI533" i="1"/>
  <c r="H534" i="1"/>
  <c r="I534" i="1"/>
  <c r="W534" i="1"/>
  <c r="AA534" i="1"/>
  <c r="FH534" i="1"/>
  <c r="FI534" i="1"/>
  <c r="H535" i="1"/>
  <c r="I535" i="1"/>
  <c r="W535" i="1"/>
  <c r="AA535" i="1"/>
  <c r="FH535" i="1"/>
  <c r="FI535" i="1"/>
  <c r="H536" i="1"/>
  <c r="I536" i="1"/>
  <c r="W536" i="1"/>
  <c r="AA536" i="1"/>
  <c r="FH536" i="1"/>
  <c r="FI536" i="1"/>
  <c r="H537" i="1"/>
  <c r="I537" i="1"/>
  <c r="W537" i="1"/>
  <c r="AA537" i="1"/>
  <c r="FH537" i="1"/>
  <c r="FI537" i="1"/>
  <c r="H538" i="1"/>
  <c r="I538" i="1"/>
  <c r="W538" i="1"/>
  <c r="AA538" i="1"/>
  <c r="FH538" i="1"/>
  <c r="FI538" i="1"/>
  <c r="H539" i="1"/>
  <c r="I539" i="1"/>
  <c r="W539" i="1"/>
  <c r="AA539" i="1"/>
  <c r="FH539" i="1"/>
  <c r="FI539" i="1"/>
  <c r="H540" i="1"/>
  <c r="I540" i="1"/>
  <c r="W540" i="1"/>
  <c r="AA540" i="1"/>
  <c r="FH540" i="1"/>
  <c r="FI540" i="1"/>
  <c r="H541" i="1"/>
  <c r="I541" i="1"/>
  <c r="W541" i="1"/>
  <c r="AA541" i="1"/>
  <c r="FH541" i="1"/>
  <c r="FI541" i="1"/>
  <c r="H542" i="1"/>
  <c r="I542" i="1"/>
  <c r="W542" i="1"/>
  <c r="AA542" i="1"/>
  <c r="FH542" i="1"/>
  <c r="FI542" i="1"/>
  <c r="H543" i="1"/>
  <c r="I543" i="1"/>
  <c r="W543" i="1"/>
  <c r="AA543" i="1"/>
  <c r="FH543" i="1"/>
  <c r="FI543" i="1"/>
  <c r="H544" i="1"/>
  <c r="I544" i="1"/>
  <c r="W544" i="1"/>
  <c r="AA544" i="1"/>
  <c r="FH544" i="1"/>
  <c r="FI544" i="1"/>
  <c r="H545" i="1"/>
  <c r="I545" i="1"/>
  <c r="W545" i="1"/>
  <c r="AA545" i="1"/>
  <c r="FH545" i="1"/>
  <c r="FI545" i="1"/>
  <c r="H546" i="1"/>
  <c r="I546" i="1"/>
  <c r="W546" i="1"/>
  <c r="AA546" i="1"/>
  <c r="FH546" i="1"/>
  <c r="FI546" i="1"/>
  <c r="H547" i="1"/>
  <c r="I547" i="1"/>
  <c r="W547" i="1"/>
  <c r="AA547" i="1"/>
  <c r="FH547" i="1"/>
  <c r="FI547" i="1"/>
  <c r="H548" i="1"/>
  <c r="I548" i="1"/>
  <c r="W548" i="1"/>
  <c r="AA548" i="1"/>
  <c r="FH548" i="1"/>
  <c r="FI548" i="1"/>
  <c r="H549" i="1"/>
  <c r="I549" i="1"/>
  <c r="W549" i="1"/>
  <c r="AA549" i="1"/>
  <c r="FH549" i="1"/>
  <c r="FI549" i="1"/>
  <c r="H550" i="1"/>
  <c r="I550" i="1"/>
  <c r="W550" i="1"/>
  <c r="AA550" i="1"/>
  <c r="FH550" i="1"/>
  <c r="FI550" i="1"/>
  <c r="H551" i="1"/>
  <c r="I551" i="1"/>
  <c r="W551" i="1"/>
  <c r="AA551" i="1"/>
  <c r="FH551" i="1"/>
  <c r="FI551" i="1"/>
  <c r="H552" i="1"/>
  <c r="I552" i="1"/>
  <c r="W552" i="1"/>
  <c r="AA552" i="1"/>
  <c r="FH552" i="1"/>
  <c r="FI552" i="1"/>
  <c r="H553" i="1"/>
  <c r="I553" i="1"/>
  <c r="W553" i="1"/>
  <c r="AA553" i="1"/>
  <c r="FH553" i="1"/>
  <c r="FI553" i="1"/>
  <c r="H554" i="1"/>
  <c r="I554" i="1"/>
  <c r="W554" i="1"/>
  <c r="AA554" i="1"/>
  <c r="H555" i="1"/>
  <c r="I555" i="1"/>
  <c r="W555" i="1"/>
  <c r="AA555" i="1"/>
  <c r="H556" i="1"/>
  <c r="I556" i="1"/>
  <c r="W556" i="1"/>
  <c r="AA556" i="1"/>
  <c r="H557" i="1"/>
  <c r="I557" i="1"/>
  <c r="W557" i="1"/>
  <c r="AA557" i="1"/>
  <c r="H558" i="1"/>
  <c r="I558" i="1"/>
  <c r="W558" i="1"/>
  <c r="AA558" i="1"/>
  <c r="H559" i="1"/>
  <c r="I559" i="1"/>
  <c r="W559" i="1"/>
  <c r="AA559" i="1"/>
  <c r="H560" i="1"/>
  <c r="I560" i="1"/>
  <c r="W560" i="1"/>
  <c r="AA560" i="1"/>
  <c r="H561" i="1"/>
  <c r="I561" i="1"/>
  <c r="W561" i="1"/>
  <c r="AA561" i="1"/>
  <c r="H562" i="1"/>
  <c r="I562" i="1"/>
  <c r="W562" i="1"/>
  <c r="AA562" i="1"/>
  <c r="H563" i="1"/>
  <c r="I563" i="1"/>
  <c r="W563" i="1"/>
  <c r="AA563" i="1"/>
  <c r="H564" i="1"/>
  <c r="I564" i="1"/>
  <c r="W564" i="1"/>
  <c r="AA564" i="1"/>
  <c r="H565" i="1"/>
  <c r="I565" i="1"/>
  <c r="W565" i="1"/>
  <c r="AA565" i="1"/>
  <c r="H566" i="1"/>
  <c r="I566" i="1"/>
  <c r="CZ566" i="1"/>
  <c r="DA566" i="1"/>
  <c r="H567" i="1"/>
  <c r="I567" i="1"/>
  <c r="CZ567" i="1"/>
  <c r="DA567" i="1"/>
  <c r="H568" i="1"/>
  <c r="I568" i="1"/>
  <c r="CZ568" i="1"/>
  <c r="DA568" i="1"/>
  <c r="H569" i="1"/>
  <c r="I569" i="1"/>
  <c r="CZ569" i="1"/>
  <c r="DA569" i="1"/>
  <c r="H570" i="1"/>
  <c r="I570" i="1"/>
  <c r="DA570" i="1"/>
  <c r="H571" i="1"/>
  <c r="I571" i="1"/>
  <c r="DA571" i="1"/>
  <c r="H572" i="1"/>
  <c r="I572" i="1"/>
  <c r="CZ572" i="1"/>
  <c r="DA572" i="1"/>
  <c r="H573" i="1"/>
  <c r="I573" i="1"/>
  <c r="CZ573" i="1"/>
  <c r="DA573" i="1"/>
  <c r="H574" i="1"/>
  <c r="I574" i="1"/>
  <c r="CZ574" i="1"/>
  <c r="DA574" i="1"/>
  <c r="H575" i="1"/>
  <c r="I575" i="1"/>
  <c r="CZ575" i="1"/>
  <c r="DA575" i="1"/>
  <c r="H576" i="1"/>
  <c r="I576" i="1"/>
  <c r="H577" i="1"/>
  <c r="I577" i="1"/>
  <c r="H578" i="1"/>
  <c r="I578" i="1"/>
  <c r="CZ578" i="1"/>
  <c r="DA578" i="1"/>
  <c r="H579" i="1"/>
  <c r="I579" i="1"/>
  <c r="CZ579" i="1"/>
  <c r="DA579" i="1"/>
  <c r="H580" i="1"/>
  <c r="I580" i="1"/>
  <c r="CZ580" i="1"/>
  <c r="DA580" i="1"/>
  <c r="H581" i="1"/>
  <c r="I581" i="1"/>
  <c r="CZ581" i="1"/>
  <c r="DA581" i="1"/>
  <c r="H582" i="1"/>
  <c r="I582" i="1"/>
  <c r="CZ582" i="1"/>
  <c r="DA582" i="1"/>
  <c r="H583" i="1"/>
  <c r="I583" i="1"/>
  <c r="CZ583" i="1"/>
  <c r="DA583" i="1"/>
  <c r="H584" i="1"/>
  <c r="I584" i="1"/>
  <c r="CZ584" i="1"/>
  <c r="DA584" i="1"/>
  <c r="H585" i="1"/>
  <c r="I585" i="1"/>
  <c r="CZ585" i="1"/>
  <c r="DA585" i="1"/>
  <c r="H586" i="1"/>
  <c r="I586" i="1"/>
  <c r="CZ586" i="1"/>
  <c r="DA586" i="1"/>
  <c r="H587" i="1"/>
  <c r="I587" i="1"/>
  <c r="CZ587" i="1"/>
  <c r="DA587" i="1"/>
  <c r="H588" i="1"/>
  <c r="I588" i="1"/>
  <c r="CZ588" i="1"/>
  <c r="DA588" i="1"/>
  <c r="H589" i="1"/>
  <c r="I589" i="1"/>
  <c r="CZ589" i="1"/>
  <c r="DA589" i="1"/>
  <c r="H590" i="1"/>
  <c r="I590" i="1"/>
  <c r="CZ590" i="1"/>
  <c r="DA590" i="1"/>
  <c r="H591" i="1"/>
  <c r="I591" i="1"/>
  <c r="CZ591" i="1"/>
  <c r="DA591" i="1"/>
  <c r="H592" i="1"/>
  <c r="I592" i="1"/>
  <c r="CZ592" i="1"/>
  <c r="DA592" i="1"/>
  <c r="H593" i="1"/>
  <c r="I593" i="1"/>
  <c r="CZ593" i="1"/>
  <c r="DA593" i="1"/>
  <c r="H594" i="1"/>
  <c r="I594" i="1"/>
  <c r="CZ594" i="1"/>
  <c r="DA594" i="1"/>
  <c r="H595" i="1"/>
  <c r="I595" i="1"/>
  <c r="CZ595" i="1"/>
  <c r="DA595" i="1"/>
  <c r="H596" i="1"/>
  <c r="I596" i="1"/>
  <c r="CZ596" i="1"/>
  <c r="DA596" i="1"/>
  <c r="H597" i="1"/>
  <c r="I597" i="1"/>
  <c r="CZ597" i="1"/>
  <c r="DA597" i="1"/>
  <c r="H598" i="1"/>
  <c r="I598" i="1"/>
  <c r="CZ598" i="1"/>
  <c r="DA598" i="1"/>
  <c r="H599" i="1"/>
  <c r="I599" i="1"/>
  <c r="CZ599" i="1"/>
  <c r="DA599" i="1"/>
  <c r="H600" i="1"/>
  <c r="I600" i="1"/>
  <c r="CZ600" i="1"/>
  <c r="DA600" i="1"/>
  <c r="H601" i="1"/>
  <c r="I601" i="1"/>
  <c r="CZ601" i="1"/>
  <c r="DA601" i="1"/>
  <c r="H602" i="1"/>
  <c r="I602" i="1"/>
  <c r="CZ602" i="1"/>
  <c r="DA602" i="1"/>
  <c r="H603" i="1"/>
  <c r="I603" i="1"/>
  <c r="CZ603" i="1"/>
  <c r="DA603" i="1"/>
  <c r="H604" i="1"/>
  <c r="I604" i="1"/>
  <c r="CZ604" i="1"/>
  <c r="DA604" i="1"/>
  <c r="H605" i="1"/>
  <c r="I605" i="1"/>
  <c r="CZ605" i="1"/>
  <c r="DA605" i="1"/>
  <c r="H606" i="1"/>
  <c r="I606" i="1"/>
  <c r="CZ606" i="1"/>
  <c r="DA606" i="1"/>
  <c r="H607" i="1"/>
  <c r="I607" i="1"/>
  <c r="CZ607" i="1"/>
  <c r="DA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BD694" i="1"/>
  <c r="BE694" i="1"/>
  <c r="BD695" i="1"/>
  <c r="BE695" i="1"/>
  <c r="H700" i="1"/>
  <c r="I700" i="1"/>
  <c r="BM700" i="1"/>
  <c r="BN700" i="1"/>
  <c r="H701" i="1"/>
  <c r="I701" i="1"/>
  <c r="BM701" i="1"/>
  <c r="BN701" i="1"/>
  <c r="H702" i="1"/>
  <c r="I702" i="1"/>
  <c r="BD702" i="1"/>
  <c r="BE702" i="1"/>
  <c r="BM702" i="1"/>
  <c r="BN702" i="1"/>
  <c r="H703" i="1"/>
  <c r="I703" i="1"/>
  <c r="AW703" i="1"/>
  <c r="AX703" i="1" s="1"/>
  <c r="BD703" i="1"/>
  <c r="BE703" i="1"/>
  <c r="BM703" i="1"/>
  <c r="BN703" i="1"/>
  <c r="H704" i="1"/>
  <c r="I704" i="1"/>
  <c r="AW704" i="1"/>
  <c r="AX704" i="1" s="1"/>
  <c r="BD704" i="1"/>
  <c r="BE704" i="1"/>
  <c r="BM704" i="1"/>
  <c r="BN704" i="1"/>
  <c r="H705" i="1"/>
  <c r="I705" i="1"/>
  <c r="AW705" i="1"/>
  <c r="AX705" i="1" s="1"/>
  <c r="BD705" i="1"/>
  <c r="BE705" i="1"/>
  <c r="BM705" i="1"/>
  <c r="BN705" i="1"/>
  <c r="H706" i="1"/>
  <c r="I706" i="1"/>
  <c r="AW706" i="1"/>
  <c r="AX706" i="1" s="1"/>
  <c r="BD706" i="1"/>
  <c r="BE706" i="1"/>
  <c r="BM706" i="1"/>
  <c r="BN706" i="1"/>
  <c r="H707" i="1"/>
  <c r="I707" i="1"/>
  <c r="AW707" i="1"/>
  <c r="AX707" i="1" s="1"/>
  <c r="BD707" i="1"/>
  <c r="BE707" i="1"/>
  <c r="BM707" i="1"/>
  <c r="BN707" i="1"/>
  <c r="H708" i="1"/>
  <c r="I708" i="1"/>
  <c r="AW708" i="1"/>
  <c r="AX708" i="1" s="1"/>
  <c r="BD708" i="1"/>
  <c r="BE708" i="1"/>
  <c r="BM708" i="1"/>
  <c r="BN708" i="1"/>
  <c r="H709" i="1"/>
  <c r="I709" i="1"/>
  <c r="AW709" i="1"/>
  <c r="AX709" i="1" s="1"/>
  <c r="BD709" i="1"/>
  <c r="BE709" i="1"/>
  <c r="BM709" i="1"/>
  <c r="BN709" i="1"/>
  <c r="BD710" i="1"/>
  <c r="BE710" i="1"/>
  <c r="BD711" i="1"/>
  <c r="BE711" i="1"/>
  <c r="BD712" i="1"/>
  <c r="BE712" i="1"/>
  <c r="BD713" i="1"/>
  <c r="BE713" i="1"/>
  <c r="BD714" i="1"/>
  <c r="BE714" i="1"/>
  <c r="BD715" i="1"/>
  <c r="BE715" i="1"/>
  <c r="BD716" i="1"/>
  <c r="BE716" i="1"/>
  <c r="BD717" i="1"/>
  <c r="BE717" i="1"/>
  <c r="BD718" i="1"/>
  <c r="BE718" i="1"/>
  <c r="BD719" i="1"/>
  <c r="BE719" i="1"/>
  <c r="BD720" i="1"/>
  <c r="BE720" i="1"/>
  <c r="BD721" i="1"/>
  <c r="BE721" i="1"/>
  <c r="BD722" i="1"/>
  <c r="BE722" i="1"/>
  <c r="BD723" i="1"/>
  <c r="BE723" i="1"/>
  <c r="BD724" i="1"/>
  <c r="BE724" i="1"/>
  <c r="BD725" i="1"/>
  <c r="BE725" i="1"/>
  <c r="BD726" i="1"/>
  <c r="BE726" i="1"/>
  <c r="BD727" i="1"/>
  <c r="BE727" i="1"/>
  <c r="BD729" i="1"/>
  <c r="BE729" i="1"/>
  <c r="H734" i="1"/>
  <c r="I734" i="1"/>
  <c r="BD734" i="1"/>
  <c r="BE734" i="1"/>
  <c r="DD734" i="1"/>
  <c r="H735" i="1"/>
  <c r="I735" i="1"/>
  <c r="BD735" i="1"/>
  <c r="BE735" i="1"/>
  <c r="DD735" i="1"/>
  <c r="H736" i="1"/>
  <c r="I736" i="1"/>
  <c r="BD736" i="1"/>
  <c r="BE736" i="1"/>
  <c r="DD736" i="1"/>
  <c r="H737" i="1"/>
  <c r="I737" i="1"/>
  <c r="EG737" i="1"/>
  <c r="EH737" i="1"/>
  <c r="EY737" i="1"/>
  <c r="EZ737" i="1"/>
  <c r="H738" i="1"/>
  <c r="I738" i="1"/>
  <c r="EG738" i="1"/>
  <c r="EH738" i="1"/>
  <c r="EY738" i="1"/>
  <c r="EZ738" i="1"/>
  <c r="H739" i="1"/>
  <c r="I739" i="1"/>
  <c r="EG739" i="1"/>
  <c r="EH739" i="1"/>
  <c r="EY739" i="1"/>
  <c r="EZ739" i="1"/>
  <c r="H740" i="1"/>
  <c r="I740" i="1"/>
  <c r="EG740" i="1"/>
  <c r="EH740" i="1"/>
  <c r="EY740" i="1"/>
  <c r="EZ740" i="1"/>
  <c r="H741" i="1"/>
  <c r="I741" i="1"/>
  <c r="EY741" i="1"/>
  <c r="EZ741" i="1"/>
  <c r="H742" i="1"/>
  <c r="I742" i="1"/>
  <c r="EY742" i="1"/>
  <c r="EZ742" i="1"/>
  <c r="H743" i="1"/>
  <c r="I743" i="1"/>
  <c r="H744" i="1"/>
  <c r="I744" i="1"/>
  <c r="EY744" i="1"/>
  <c r="EZ744" i="1"/>
  <c r="H745" i="1"/>
  <c r="I745" i="1"/>
  <c r="BD745" i="1"/>
  <c r="BE745" i="1"/>
  <c r="BM745" i="1"/>
  <c r="CH745" i="1"/>
  <c r="CI745" i="1"/>
  <c r="H746" i="1"/>
  <c r="I746" i="1"/>
  <c r="BD746" i="1"/>
  <c r="BE746" i="1"/>
  <c r="CH746" i="1"/>
  <c r="CI746" i="1"/>
  <c r="H747" i="1"/>
  <c r="I747" i="1"/>
  <c r="BD747" i="1"/>
  <c r="BE747" i="1"/>
  <c r="CH747" i="1"/>
  <c r="CI747" i="1"/>
  <c r="H748" i="1"/>
  <c r="I748" i="1"/>
  <c r="BD748" i="1"/>
  <c r="BE748" i="1"/>
  <c r="BM748" i="1"/>
  <c r="CH748" i="1"/>
  <c r="CI748" i="1"/>
  <c r="H749" i="1"/>
  <c r="I749" i="1"/>
  <c r="BD749" i="1"/>
  <c r="BE749" i="1"/>
  <c r="CH749" i="1"/>
  <c r="H750" i="1"/>
  <c r="I750" i="1"/>
  <c r="BD750" i="1"/>
  <c r="BE750" i="1"/>
  <c r="CH750" i="1"/>
  <c r="H751" i="1"/>
  <c r="I751" i="1"/>
  <c r="Y751" i="1"/>
  <c r="H752" i="1"/>
  <c r="I752" i="1"/>
  <c r="Y752" i="1"/>
  <c r="H753" i="1"/>
  <c r="I753" i="1"/>
  <c r="Y753" i="1"/>
  <c r="H754" i="1"/>
  <c r="I754" i="1"/>
  <c r="Y754" i="1"/>
  <c r="H755" i="1"/>
  <c r="I755" i="1"/>
  <c r="Y755" i="1"/>
  <c r="H756" i="1"/>
  <c r="I756" i="1"/>
  <c r="Y756" i="1"/>
  <c r="H757" i="1"/>
  <c r="I757" i="1"/>
  <c r="Y757" i="1"/>
  <c r="H758" i="1"/>
  <c r="I758" i="1"/>
  <c r="Y758" i="1"/>
  <c r="H759" i="1"/>
  <c r="I759" i="1"/>
  <c r="Y759" i="1"/>
  <c r="H760" i="1"/>
  <c r="I760" i="1"/>
  <c r="Y760" i="1"/>
  <c r="H761" i="1"/>
  <c r="I761" i="1"/>
  <c r="Y761" i="1"/>
  <c r="H762" i="1"/>
  <c r="I762" i="1"/>
  <c r="Y762" i="1"/>
  <c r="H763" i="1"/>
  <c r="I763" i="1"/>
  <c r="Y763" i="1"/>
  <c r="H764" i="1"/>
  <c r="I764" i="1"/>
  <c r="Y764" i="1"/>
  <c r="EY765" i="1"/>
  <c r="FH765" i="1"/>
  <c r="FI765" i="1"/>
  <c r="FK765" i="1"/>
  <c r="FL765" i="1"/>
  <c r="EY766" i="1"/>
  <c r="FH766" i="1"/>
  <c r="FI766" i="1"/>
  <c r="FK766" i="1"/>
  <c r="FL766" i="1"/>
  <c r="EY767" i="1"/>
  <c r="FH767" i="1"/>
  <c r="FI767" i="1"/>
  <c r="FK767" i="1"/>
  <c r="FL767" i="1"/>
  <c r="EY768" i="1"/>
  <c r="FH768" i="1"/>
  <c r="FI768" i="1"/>
  <c r="FK768" i="1"/>
  <c r="FL768" i="1"/>
  <c r="EY769" i="1"/>
  <c r="FH769" i="1"/>
  <c r="FI769" i="1"/>
  <c r="FK769" i="1"/>
  <c r="FL769" i="1"/>
  <c r="FH770" i="1"/>
  <c r="FI770" i="1"/>
  <c r="FK770" i="1"/>
  <c r="FL770" i="1"/>
  <c r="FH771" i="1"/>
  <c r="FI771" i="1"/>
  <c r="FK771" i="1"/>
  <c r="FL771" i="1"/>
  <c r="FH772" i="1"/>
  <c r="FI772" i="1"/>
  <c r="FK772" i="1"/>
  <c r="FL772" i="1"/>
  <c r="FH773" i="1"/>
  <c r="FI773" i="1"/>
  <c r="FK773" i="1"/>
  <c r="FL773" i="1"/>
  <c r="FH774" i="1"/>
  <c r="FI774" i="1"/>
  <c r="FK774" i="1"/>
  <c r="FL774" i="1"/>
  <c r="FH775" i="1"/>
  <c r="FI775" i="1"/>
  <c r="FK775" i="1"/>
  <c r="FL775" i="1"/>
  <c r="FH776" i="1"/>
  <c r="FI776" i="1"/>
  <c r="FK776" i="1"/>
  <c r="FL776" i="1"/>
  <c r="FH777" i="1"/>
  <c r="FI777" i="1"/>
  <c r="FK777" i="1"/>
  <c r="FL777" i="1"/>
  <c r="FH778" i="1"/>
  <c r="FI778" i="1"/>
  <c r="FK778" i="1"/>
  <c r="FL778" i="1"/>
  <c r="FH779" i="1"/>
  <c r="FI779" i="1"/>
  <c r="FK779" i="1"/>
  <c r="FL779" i="1"/>
  <c r="FH780" i="1"/>
  <c r="FI780" i="1"/>
  <c r="FK780" i="1"/>
  <c r="FL780" i="1"/>
  <c r="FH781" i="1"/>
  <c r="FI781" i="1"/>
  <c r="FK781" i="1"/>
  <c r="FL781" i="1"/>
  <c r="FH782" i="1"/>
  <c r="FI782" i="1"/>
  <c r="FK782" i="1"/>
  <c r="FL782" i="1"/>
  <c r="FK783" i="1"/>
  <c r="FL783" i="1"/>
  <c r="FH784" i="1"/>
  <c r="FI784" i="1"/>
  <c r="FK784" i="1"/>
  <c r="FL784" i="1"/>
  <c r="FH785" i="1"/>
  <c r="FI785" i="1"/>
  <c r="FK785" i="1"/>
  <c r="FL785" i="1"/>
  <c r="FH786" i="1"/>
  <c r="FI786" i="1"/>
  <c r="FK786" i="1"/>
  <c r="FL786" i="1"/>
  <c r="FH787" i="1"/>
  <c r="FI787" i="1"/>
  <c r="FK787" i="1"/>
  <c r="FL787" i="1"/>
  <c r="FH788" i="1"/>
  <c r="FI788" i="1"/>
  <c r="FK788" i="1"/>
  <c r="FL788" i="1"/>
  <c r="H789" i="1"/>
  <c r="I789" i="1"/>
  <c r="H790" i="1"/>
  <c r="I790" i="1"/>
  <c r="W791" i="1"/>
  <c r="EY791" i="1"/>
  <c r="EZ791" i="1"/>
  <c r="W792" i="1"/>
  <c r="EY792" i="1"/>
  <c r="EZ792" i="1"/>
  <c r="W793" i="1"/>
  <c r="BJ793" i="1"/>
  <c r="BK793" i="1"/>
  <c r="W794" i="1"/>
  <c r="BJ794" i="1"/>
  <c r="BK794" i="1"/>
  <c r="W795" i="1"/>
  <c r="BJ795" i="1"/>
  <c r="BK795" i="1"/>
  <c r="W796" i="1"/>
  <c r="BJ796" i="1"/>
  <c r="BK796" i="1"/>
  <c r="W797" i="1"/>
  <c r="BJ797" i="1"/>
  <c r="BK797" i="1"/>
  <c r="W798" i="1"/>
  <c r="BJ798" i="1"/>
  <c r="BK798" i="1"/>
  <c r="W799" i="1"/>
  <c r="BJ799" i="1"/>
  <c r="BK799" i="1"/>
  <c r="W800" i="1"/>
  <c r="BJ800" i="1"/>
  <c r="BK800" i="1"/>
  <c r="W801" i="1"/>
  <c r="BJ801" i="1"/>
  <c r="BK801" i="1"/>
  <c r="W802" i="1"/>
  <c r="BJ802" i="1"/>
  <c r="BK802" i="1"/>
  <c r="W803" i="1"/>
  <c r="BJ803" i="1"/>
  <c r="BK803" i="1"/>
  <c r="W804" i="1"/>
  <c r="BJ804" i="1"/>
  <c r="BK804" i="1"/>
  <c r="W805" i="1"/>
  <c r="BJ805" i="1"/>
  <c r="BK805" i="1"/>
  <c r="W806" i="1"/>
  <c r="BJ806" i="1"/>
  <c r="BK806" i="1"/>
  <c r="W807" i="1"/>
  <c r="BJ807" i="1"/>
  <c r="BK807" i="1"/>
  <c r="W808" i="1"/>
  <c r="BJ808" i="1"/>
  <c r="BK808" i="1"/>
  <c r="AB883" i="1"/>
  <c r="AX883" i="1"/>
  <c r="AB884" i="1"/>
  <c r="AX884" i="1"/>
  <c r="AB885" i="1"/>
  <c r="AX885" i="1"/>
  <c r="AB886" i="1"/>
  <c r="AX886" i="1"/>
  <c r="AB887" i="1"/>
  <c r="AX887" i="1"/>
  <c r="AB888" i="1"/>
  <c r="AX888" i="1"/>
  <c r="AB889" i="1"/>
  <c r="AX889" i="1"/>
  <c r="AB890" i="1"/>
  <c r="AX890" i="1"/>
  <c r="AB891" i="1"/>
  <c r="AX891" i="1"/>
  <c r="BJ892" i="1"/>
  <c r="BM892" i="1"/>
  <c r="BN892" i="1"/>
  <c r="BJ893" i="1"/>
  <c r="BM893" i="1"/>
  <c r="BJ894" i="1"/>
  <c r="BM894" i="1"/>
  <c r="BJ895" i="1"/>
  <c r="BJ896" i="1"/>
  <c r="BJ897" i="1"/>
  <c r="BJ901" i="1"/>
  <c r="BJ902" i="1"/>
  <c r="BM907" i="1"/>
  <c r="BS907" i="1"/>
  <c r="BT907" i="1"/>
  <c r="BS911" i="1"/>
  <c r="BT911" i="1"/>
  <c r="BS912" i="1"/>
  <c r="BT912" i="1"/>
  <c r="BM941" i="1"/>
  <c r="BN941" i="1"/>
  <c r="BM942" i="1"/>
  <c r="BN942" i="1"/>
  <c r="BM943" i="1"/>
  <c r="BN943" i="1"/>
  <c r="BM945" i="1"/>
  <c r="BN945" i="1"/>
  <c r="BM946" i="1"/>
  <c r="BN946" i="1"/>
  <c r="BM947" i="1"/>
  <c r="BN947" i="1"/>
  <c r="BM949" i="1"/>
  <c r="BN949" i="1"/>
  <c r="BM950" i="1"/>
  <c r="BN950" i="1"/>
  <c r="BM951" i="1"/>
  <c r="BN951" i="1"/>
  <c r="BM953" i="1"/>
  <c r="BN953" i="1"/>
  <c r="BM954" i="1"/>
  <c r="BN954" i="1"/>
  <c r="BM956" i="1"/>
  <c r="BN956" i="1"/>
  <c r="BM957" i="1"/>
  <c r="BN957" i="1"/>
  <c r="BM958" i="1"/>
  <c r="BN958" i="1"/>
  <c r="BM960" i="1"/>
  <c r="BN960" i="1"/>
  <c r="BM961" i="1"/>
  <c r="BN961" i="1"/>
  <c r="BM962" i="1"/>
  <c r="BN962" i="1"/>
  <c r="BM964" i="1"/>
  <c r="BN964" i="1"/>
  <c r="H965" i="1"/>
  <c r="I965" i="1"/>
  <c r="AW965" i="1"/>
  <c r="AX965" i="1" s="1"/>
  <c r="BM965" i="1"/>
  <c r="BN965" i="1"/>
  <c r="DI965" i="1"/>
  <c r="DJ965" i="1"/>
  <c r="H966" i="1"/>
  <c r="I966" i="1"/>
  <c r="AX966" i="1"/>
  <c r="BM966" i="1"/>
  <c r="BN966" i="1"/>
  <c r="DI966" i="1"/>
  <c r="DJ966" i="1"/>
  <c r="H967" i="1"/>
  <c r="I967" i="1"/>
  <c r="AW967" i="1"/>
  <c r="AX967" i="1" s="1"/>
  <c r="BM967" i="1"/>
  <c r="BN967" i="1"/>
  <c r="DI967" i="1"/>
  <c r="DJ967" i="1"/>
  <c r="H968" i="1"/>
  <c r="I968" i="1"/>
  <c r="AX968" i="1"/>
  <c r="BM968" i="1"/>
  <c r="BN968" i="1"/>
  <c r="DI968" i="1"/>
  <c r="DJ968" i="1"/>
  <c r="H969" i="1"/>
  <c r="I969" i="1"/>
  <c r="AX969" i="1"/>
  <c r="BM969" i="1"/>
  <c r="BN969" i="1"/>
  <c r="DI969" i="1"/>
  <c r="DJ969" i="1"/>
  <c r="H970" i="1"/>
  <c r="I970" i="1"/>
  <c r="AW970" i="1"/>
  <c r="AX970" i="1" s="1"/>
  <c r="BM970" i="1"/>
  <c r="BN970" i="1"/>
  <c r="DI970" i="1"/>
  <c r="DJ970" i="1"/>
  <c r="H971" i="1"/>
  <c r="I971" i="1"/>
  <c r="AX971" i="1"/>
  <c r="BM971" i="1"/>
  <c r="BN971" i="1"/>
  <c r="DI971" i="1"/>
  <c r="DJ971" i="1"/>
  <c r="H972" i="1"/>
  <c r="I972" i="1"/>
  <c r="AW972" i="1"/>
  <c r="AX972" i="1" s="1"/>
  <c r="BM972" i="1"/>
  <c r="BN972" i="1"/>
  <c r="DI972" i="1"/>
  <c r="DJ972" i="1"/>
  <c r="H973" i="1"/>
  <c r="I973" i="1"/>
  <c r="AX973" i="1"/>
  <c r="BM973" i="1"/>
  <c r="BN973" i="1"/>
  <c r="DI973" i="1"/>
  <c r="DJ973" i="1"/>
  <c r="H974" i="1"/>
  <c r="I974" i="1"/>
  <c r="AX974" i="1"/>
  <c r="BM974" i="1"/>
  <c r="DI974" i="1"/>
  <c r="DJ974" i="1"/>
  <c r="H975" i="1"/>
  <c r="I975" i="1"/>
  <c r="AW975" i="1"/>
  <c r="AX975" i="1" s="1"/>
  <c r="DI975" i="1"/>
  <c r="DJ975" i="1"/>
  <c r="H976" i="1"/>
  <c r="I976" i="1"/>
  <c r="AX976" i="1"/>
  <c r="DI976" i="1"/>
  <c r="DJ976" i="1"/>
  <c r="H977" i="1"/>
  <c r="I977" i="1"/>
  <c r="AW977" i="1"/>
  <c r="AX977" i="1" s="1"/>
  <c r="DI977" i="1"/>
  <c r="DJ977" i="1"/>
  <c r="H978" i="1"/>
  <c r="I978" i="1"/>
  <c r="AX978" i="1"/>
  <c r="DI978" i="1"/>
  <c r="DJ978" i="1"/>
  <c r="H979" i="1"/>
  <c r="I979" i="1"/>
  <c r="AX979" i="1"/>
  <c r="DI979" i="1"/>
  <c r="DJ979" i="1"/>
  <c r="H980" i="1"/>
  <c r="I980" i="1"/>
  <c r="AW980" i="1"/>
  <c r="AX980" i="1" s="1"/>
  <c r="DI980" i="1"/>
  <c r="DJ980" i="1"/>
  <c r="H981" i="1"/>
  <c r="I981" i="1"/>
  <c r="AX981" i="1"/>
  <c r="DI981" i="1"/>
  <c r="DJ981" i="1"/>
  <c r="H982" i="1"/>
  <c r="I982" i="1"/>
  <c r="AW982" i="1"/>
  <c r="AX982" i="1" s="1"/>
  <c r="DI982" i="1"/>
  <c r="DJ982" i="1"/>
  <c r="H983" i="1"/>
  <c r="I983" i="1"/>
  <c r="AX983" i="1"/>
  <c r="DI983" i="1"/>
  <c r="DJ983" i="1"/>
  <c r="H984" i="1"/>
  <c r="I984" i="1"/>
  <c r="AX984" i="1"/>
  <c r="DI984" i="1"/>
  <c r="DJ984" i="1"/>
  <c r="H985" i="1"/>
  <c r="I985" i="1"/>
  <c r="AW985" i="1"/>
  <c r="AX985" i="1" s="1"/>
  <c r="DI985" i="1"/>
  <c r="DJ985" i="1"/>
  <c r="H986" i="1"/>
  <c r="I986" i="1"/>
  <c r="AX986" i="1"/>
  <c r="DI986" i="1"/>
  <c r="DJ986" i="1"/>
  <c r="H987" i="1"/>
  <c r="I987" i="1"/>
  <c r="AW987" i="1"/>
  <c r="AX987" i="1" s="1"/>
  <c r="DI987" i="1"/>
  <c r="DJ987" i="1"/>
  <c r="H988" i="1"/>
  <c r="I988" i="1"/>
  <c r="AX988" i="1"/>
  <c r="DI988" i="1"/>
  <c r="DJ988" i="1"/>
  <c r="H989" i="1"/>
  <c r="I989" i="1"/>
  <c r="AX989" i="1"/>
  <c r="DI989" i="1"/>
  <c r="DJ989" i="1"/>
  <c r="H990" i="1"/>
  <c r="I990" i="1"/>
  <c r="AW990" i="1"/>
  <c r="AX990" i="1" s="1"/>
  <c r="DI990" i="1"/>
  <c r="DJ990" i="1"/>
  <c r="H991" i="1"/>
  <c r="I991" i="1"/>
  <c r="AX991" i="1"/>
  <c r="DI991" i="1"/>
  <c r="DJ991" i="1"/>
  <c r="H992" i="1"/>
  <c r="I992" i="1"/>
  <c r="AW992" i="1"/>
  <c r="AX992" i="1" s="1"/>
  <c r="DI992" i="1"/>
  <c r="DJ992" i="1"/>
  <c r="H993" i="1"/>
  <c r="I993" i="1"/>
  <c r="AX993" i="1"/>
  <c r="DI993" i="1"/>
  <c r="DJ993" i="1"/>
  <c r="H994" i="1"/>
  <c r="I994" i="1"/>
  <c r="AX994" i="1"/>
  <c r="DI994" i="1"/>
  <c r="DJ994" i="1"/>
  <c r="BJ995" i="1"/>
  <c r="BK995" i="1"/>
  <c r="CH995" i="1"/>
  <c r="CI995" i="1"/>
  <c r="CW995" i="1"/>
  <c r="CX995" i="1"/>
  <c r="BJ996" i="1"/>
  <c r="BK996" i="1"/>
  <c r="CH996" i="1"/>
  <c r="CI996" i="1"/>
  <c r="CW996" i="1"/>
  <c r="CX996" i="1"/>
  <c r="BJ997" i="1"/>
  <c r="BK997" i="1"/>
  <c r="CH997" i="1"/>
  <c r="CI997" i="1"/>
  <c r="CW997" i="1"/>
  <c r="CX997" i="1"/>
  <c r="H998" i="1"/>
  <c r="I998" i="1"/>
  <c r="EA998" i="1"/>
  <c r="EB998" i="1"/>
  <c r="H999" i="1"/>
  <c r="I999" i="1"/>
  <c r="EA999" i="1"/>
  <c r="EB999" i="1"/>
  <c r="H1000" i="1"/>
  <c r="I1000" i="1"/>
  <c r="EA1000" i="1"/>
  <c r="EB1000" i="1"/>
  <c r="H1001" i="1"/>
  <c r="I1001" i="1"/>
  <c r="EA1001" i="1"/>
  <c r="EB1001" i="1"/>
  <c r="H1002" i="1"/>
  <c r="I1002" i="1"/>
  <c r="EA1002" i="1"/>
  <c r="EB1002" i="1"/>
  <c r="H1003" i="1"/>
  <c r="I1003" i="1"/>
  <c r="EA1003" i="1"/>
  <c r="EB1003" i="1"/>
  <c r="H1004" i="1"/>
  <c r="I1004" i="1"/>
  <c r="EA1004" i="1"/>
  <c r="EB1004" i="1"/>
  <c r="H1005" i="1"/>
  <c r="I1005" i="1"/>
  <c r="EA1005" i="1"/>
  <c r="EB1005" i="1"/>
  <c r="H1006" i="1"/>
  <c r="I1006" i="1"/>
  <c r="EA1006" i="1"/>
  <c r="EB1006" i="1"/>
  <c r="H1007" i="1"/>
  <c r="I1007" i="1"/>
  <c r="EA1007" i="1"/>
  <c r="EB1007" i="1"/>
  <c r="H1008" i="1"/>
  <c r="I1008" i="1"/>
  <c r="EA1008" i="1"/>
  <c r="EB1008" i="1"/>
  <c r="H1009" i="1"/>
  <c r="I1009" i="1"/>
  <c r="EA1009" i="1"/>
  <c r="EB1009" i="1"/>
  <c r="H1010" i="1"/>
  <c r="I1010" i="1"/>
  <c r="EA1010" i="1"/>
  <c r="EB1010" i="1"/>
  <c r="H1011" i="1"/>
  <c r="I1011" i="1"/>
  <c r="EA1011" i="1"/>
  <c r="EB1011" i="1"/>
  <c r="H1012" i="1"/>
  <c r="I1012" i="1"/>
  <c r="EA1012" i="1"/>
  <c r="EB1012" i="1"/>
  <c r="H1013" i="1"/>
  <c r="I1013" i="1"/>
  <c r="EA1013" i="1"/>
  <c r="EB1013" i="1"/>
  <c r="AX1040" i="1"/>
  <c r="AX1041" i="1"/>
  <c r="AX1042" i="1"/>
  <c r="AX1043" i="1"/>
  <c r="AX1046" i="1"/>
  <c r="AX1047" i="1"/>
  <c r="AX1048" i="1"/>
  <c r="AX1049" i="1"/>
  <c r="AX1052" i="1"/>
  <c r="AX1053" i="1"/>
  <c r="AX1054" i="1"/>
  <c r="AX1055" i="1"/>
  <c r="AX1058" i="1"/>
  <c r="AX1059" i="1"/>
  <c r="AX1060" i="1"/>
  <c r="AX1061" i="1"/>
  <c r="BM1064" i="1"/>
  <c r="BN1064" i="1"/>
  <c r="BM1065" i="1"/>
  <c r="BN1065" i="1"/>
  <c r="BM1068" i="1"/>
  <c r="BN1068" i="1"/>
  <c r="BM1069" i="1"/>
  <c r="BN1069" i="1"/>
  <c r="BM1072" i="1"/>
  <c r="BN1072" i="1"/>
  <c r="BM1076" i="1"/>
  <c r="BN1076" i="1"/>
  <c r="BM1080" i="1"/>
  <c r="BN1080" i="1"/>
  <c r="BM1083" i="1"/>
  <c r="BN1083" i="1"/>
  <c r="M1086" i="1"/>
  <c r="N1086" i="1"/>
  <c r="X1086" i="1"/>
  <c r="Y1086" i="1"/>
  <c r="AW1086" i="1"/>
  <c r="BM1086" i="1"/>
  <c r="BN1086" i="1"/>
  <c r="M1087" i="1"/>
  <c r="N1087" i="1"/>
  <c r="X1087" i="1"/>
  <c r="Y1087" i="1"/>
  <c r="AW1087" i="1"/>
  <c r="BM1087" i="1"/>
  <c r="BN1087" i="1"/>
  <c r="M1088" i="1"/>
  <c r="N1088" i="1"/>
  <c r="X1088" i="1"/>
  <c r="Y1088" i="1"/>
  <c r="AW1088" i="1"/>
  <c r="BM1088" i="1"/>
  <c r="BN1088" i="1"/>
  <c r="M1089" i="1"/>
  <c r="N1089" i="1"/>
  <c r="X1089" i="1"/>
  <c r="Y1089" i="1"/>
  <c r="AW1089" i="1"/>
  <c r="BN1089" i="1"/>
  <c r="M1090" i="1"/>
  <c r="N1090" i="1"/>
  <c r="X1090" i="1"/>
  <c r="Y1090" i="1"/>
  <c r="AW1090" i="1"/>
  <c r="BN1090" i="1"/>
  <c r="M1091" i="1"/>
  <c r="N1091" i="1"/>
  <c r="X1091" i="1"/>
  <c r="Y1091" i="1"/>
  <c r="AW1091" i="1"/>
  <c r="BN1091" i="1"/>
  <c r="M1092" i="1"/>
  <c r="N1092" i="1"/>
  <c r="X1092" i="1"/>
  <c r="Y1092" i="1"/>
  <c r="AW1092" i="1"/>
  <c r="BM1092" i="1"/>
  <c r="BN1092" i="1"/>
  <c r="M1093" i="1"/>
  <c r="N1093" i="1"/>
  <c r="X1093" i="1"/>
  <c r="Y1093" i="1"/>
  <c r="AW1093" i="1"/>
  <c r="BM1093" i="1"/>
  <c r="BN1093" i="1"/>
  <c r="M1094" i="1"/>
  <c r="N1094" i="1"/>
  <c r="X1094" i="1"/>
  <c r="Y1094" i="1"/>
  <c r="AW1094" i="1"/>
  <c r="BM1094" i="1"/>
  <c r="BN1094" i="1"/>
  <c r="M1095" i="1"/>
  <c r="N1095" i="1"/>
  <c r="X1095" i="1"/>
  <c r="Y1095" i="1"/>
  <c r="AW1095" i="1"/>
  <c r="BM1095" i="1"/>
  <c r="BN1095" i="1"/>
  <c r="M1096" i="1"/>
  <c r="N1096" i="1"/>
  <c r="X1096" i="1"/>
  <c r="Y1096" i="1"/>
  <c r="AW1096" i="1"/>
  <c r="M1097" i="1"/>
  <c r="N1097" i="1"/>
  <c r="X1097" i="1"/>
  <c r="Y1097" i="1"/>
  <c r="AW1097" i="1"/>
  <c r="M1098" i="1"/>
  <c r="N1098" i="1"/>
  <c r="X1098" i="1"/>
  <c r="Y1098" i="1"/>
  <c r="AW1098" i="1"/>
  <c r="BM1098" i="1"/>
  <c r="BN1098" i="1"/>
  <c r="M1099" i="1"/>
  <c r="N1099" i="1"/>
  <c r="X1099" i="1"/>
  <c r="Y1099" i="1"/>
  <c r="AW1099" i="1"/>
  <c r="M1100" i="1"/>
  <c r="N1100" i="1"/>
  <c r="X1100" i="1"/>
  <c r="Y1100" i="1"/>
  <c r="AW1100" i="1"/>
  <c r="M1101" i="1"/>
  <c r="N1101" i="1"/>
  <c r="X1101" i="1"/>
  <c r="Y1101" i="1"/>
  <c r="M1102" i="1"/>
  <c r="N1102" i="1"/>
  <c r="X1102" i="1"/>
  <c r="Y1102" i="1"/>
  <c r="M1103" i="1"/>
  <c r="N1103" i="1"/>
  <c r="X1103" i="1"/>
  <c r="Y1103" i="1"/>
  <c r="M1104" i="1"/>
  <c r="N1104" i="1"/>
  <c r="X1104" i="1"/>
  <c r="Y1104" i="1"/>
  <c r="M1105" i="1"/>
  <c r="N1105" i="1"/>
  <c r="X1105" i="1"/>
  <c r="Y1105" i="1"/>
  <c r="M1106" i="1"/>
  <c r="N1106" i="1"/>
  <c r="X1106" i="1"/>
  <c r="Y1106" i="1"/>
  <c r="M1107" i="1"/>
  <c r="N1107" i="1"/>
  <c r="X1107" i="1"/>
  <c r="Y1107" i="1"/>
  <c r="M1108" i="1"/>
  <c r="N1108" i="1"/>
  <c r="X1108" i="1"/>
  <c r="Y1108" i="1"/>
  <c r="M1109" i="1"/>
  <c r="N1109" i="1"/>
  <c r="X1109" i="1"/>
  <c r="Y1109" i="1"/>
  <c r="N1110" i="1"/>
  <c r="X1110" i="1"/>
  <c r="Y1110" i="1"/>
  <c r="N1111" i="1"/>
  <c r="X1111" i="1"/>
  <c r="Y1111" i="1"/>
  <c r="N1112" i="1"/>
  <c r="X1112" i="1"/>
  <c r="Y1112" i="1"/>
  <c r="N1113" i="1"/>
  <c r="X1113" i="1"/>
  <c r="Y1113" i="1"/>
  <c r="N1114" i="1"/>
  <c r="X1114" i="1"/>
  <c r="Y1114" i="1"/>
  <c r="N1115" i="1"/>
  <c r="X1115" i="1"/>
  <c r="Y1115" i="1"/>
  <c r="N1116" i="1"/>
  <c r="X1116" i="1"/>
  <c r="Y1116" i="1"/>
  <c r="N1117" i="1"/>
  <c r="X1117" i="1"/>
  <c r="Y1117" i="1"/>
  <c r="N1118" i="1"/>
  <c r="X1118" i="1"/>
  <c r="Y1118" i="1"/>
  <c r="M1119" i="1"/>
  <c r="N1119" i="1"/>
  <c r="X1119" i="1"/>
  <c r="Y1119" i="1"/>
  <c r="AW1119" i="1"/>
  <c r="M1120" i="1"/>
  <c r="N1120" i="1"/>
  <c r="X1120" i="1"/>
  <c r="Y1120" i="1"/>
  <c r="M1121" i="1"/>
  <c r="N1121" i="1"/>
  <c r="X1121" i="1"/>
  <c r="Y1121" i="1"/>
  <c r="M1122" i="1"/>
  <c r="N1122" i="1"/>
  <c r="X1122" i="1"/>
  <c r="Y1122" i="1"/>
  <c r="M1123" i="1"/>
  <c r="N1123" i="1"/>
  <c r="X1123" i="1"/>
  <c r="Y1123" i="1"/>
  <c r="M1124" i="1"/>
  <c r="N1124" i="1"/>
  <c r="X1124" i="1"/>
  <c r="Y1124" i="1"/>
  <c r="N1125" i="1"/>
  <c r="X1125" i="1"/>
  <c r="Y1125" i="1"/>
  <c r="N1126" i="1"/>
  <c r="X1126" i="1"/>
  <c r="Y1126" i="1"/>
  <c r="N1127" i="1"/>
  <c r="X1127" i="1"/>
  <c r="Y1127" i="1"/>
  <c r="N1128" i="1"/>
  <c r="X1128" i="1"/>
  <c r="Y1128" i="1"/>
  <c r="N1129" i="1"/>
  <c r="X1129" i="1"/>
  <c r="Y1129" i="1"/>
  <c r="N1130" i="1"/>
  <c r="X1130" i="1"/>
  <c r="Y1130" i="1"/>
  <c r="N1131" i="1"/>
  <c r="X1131" i="1"/>
  <c r="Y1131" i="1"/>
  <c r="N1132" i="1"/>
  <c r="X1132" i="1"/>
  <c r="Y1132" i="1"/>
  <c r="N1133" i="1"/>
  <c r="X1133" i="1"/>
  <c r="Y1133" i="1"/>
  <c r="N1134" i="1"/>
  <c r="X1134" i="1"/>
  <c r="Y1134" i="1"/>
  <c r="N1135" i="1"/>
  <c r="X1135" i="1"/>
  <c r="Y1135" i="1"/>
  <c r="N1136" i="1"/>
  <c r="X1136" i="1"/>
  <c r="Y1136" i="1"/>
  <c r="M1137" i="1"/>
  <c r="N1137" i="1"/>
  <c r="X1137" i="1"/>
  <c r="Y1137" i="1"/>
  <c r="AW1137" i="1"/>
  <c r="M1138" i="1"/>
  <c r="N1138" i="1"/>
  <c r="X1138" i="1"/>
  <c r="Y1138" i="1"/>
  <c r="M1139" i="1"/>
  <c r="N1139" i="1"/>
  <c r="X1139" i="1"/>
  <c r="Y1139" i="1"/>
  <c r="M1140" i="1"/>
  <c r="N1140" i="1"/>
  <c r="X1140" i="1"/>
  <c r="Y1140" i="1"/>
  <c r="M1141" i="1"/>
  <c r="N1141" i="1"/>
  <c r="X1141" i="1"/>
  <c r="Y1141" i="1"/>
  <c r="M1142" i="1"/>
  <c r="N1142" i="1"/>
  <c r="X1142" i="1"/>
  <c r="Y1142" i="1"/>
  <c r="N1143" i="1"/>
  <c r="X1143" i="1"/>
  <c r="Y1143" i="1"/>
  <c r="N1144" i="1"/>
  <c r="X1144" i="1"/>
  <c r="Y1144" i="1"/>
  <c r="N1145" i="1"/>
  <c r="X1145" i="1"/>
  <c r="Y1145" i="1"/>
  <c r="N1146" i="1"/>
  <c r="X1146" i="1"/>
  <c r="Y1146" i="1"/>
  <c r="N1147" i="1"/>
  <c r="X1147" i="1"/>
  <c r="Y1147" i="1"/>
  <c r="N1148" i="1"/>
  <c r="X1148" i="1"/>
  <c r="Y1148" i="1"/>
  <c r="N1149" i="1"/>
  <c r="X1149" i="1"/>
  <c r="Y1149" i="1"/>
  <c r="N1150" i="1"/>
  <c r="X1150" i="1"/>
  <c r="Y1150" i="1"/>
  <c r="N1151" i="1"/>
  <c r="X1151" i="1"/>
  <c r="Y1151" i="1"/>
  <c r="N1152" i="1"/>
  <c r="X1152" i="1"/>
  <c r="Y1152" i="1"/>
  <c r="N1153" i="1"/>
  <c r="X1153" i="1"/>
  <c r="Y1153" i="1"/>
  <c r="N1154" i="1"/>
  <c r="X1154" i="1"/>
  <c r="Y1154" i="1"/>
  <c r="EP1184" i="1"/>
  <c r="EQ1184" i="1"/>
  <c r="EY1184" i="1"/>
  <c r="EP1185" i="1"/>
  <c r="EQ1185" i="1"/>
  <c r="EP1186" i="1"/>
  <c r="EQ1186" i="1"/>
  <c r="EP1187" i="1"/>
  <c r="EQ1187" i="1"/>
  <c r="DL1204" i="1"/>
  <c r="DM1204" i="1"/>
  <c r="DL1207" i="1"/>
  <c r="DM1207" i="1"/>
  <c r="DL1210" i="1"/>
  <c r="DM1210" i="1"/>
  <c r="AX1245" i="1"/>
  <c r="AX1246" i="1"/>
  <c r="AX1247" i="1"/>
  <c r="AX1248" i="1"/>
  <c r="AX1249" i="1"/>
  <c r="AX1294" i="1"/>
  <c r="AX1295" i="1"/>
  <c r="AX1296" i="1"/>
  <c r="AX1297" i="1"/>
  <c r="AX1298" i="1"/>
  <c r="AX1299" i="1"/>
  <c r="AX1300" i="1"/>
  <c r="AX1301" i="1"/>
  <c r="AX1302" i="1"/>
  <c r="AX1303" i="1"/>
  <c r="AX1306" i="1"/>
  <c r="AX1307" i="1"/>
  <c r="AX1308" i="1"/>
  <c r="AX1309" i="1"/>
  <c r="AX1310" i="1"/>
  <c r="AX1311" i="1"/>
  <c r="AX1312" i="1"/>
  <c r="AX1313" i="1"/>
  <c r="AX1314" i="1"/>
  <c r="AX1315" i="1"/>
  <c r="H1316" i="1"/>
  <c r="I1316" i="1"/>
  <c r="CQ1316" i="1"/>
  <c r="CR1316" i="1"/>
  <c r="CT1316" i="1"/>
  <c r="CU1316" i="1"/>
  <c r="H1317" i="1"/>
  <c r="I1317" i="1"/>
  <c r="CQ1317" i="1"/>
  <c r="CR1317" i="1"/>
  <c r="CT1317" i="1"/>
  <c r="CU1317" i="1"/>
  <c r="H1318" i="1"/>
  <c r="I1318" i="1"/>
  <c r="CQ1318" i="1"/>
  <c r="CR1318" i="1"/>
  <c r="CT1318" i="1"/>
  <c r="CU1318" i="1"/>
  <c r="H1319" i="1"/>
  <c r="I1319" i="1"/>
  <c r="H1320" i="1"/>
  <c r="I1320" i="1"/>
  <c r="BJ1320" i="1"/>
  <c r="BK1320" i="1"/>
  <c r="CR1320" i="1"/>
  <c r="CT1320" i="1"/>
  <c r="CU1320" i="1"/>
  <c r="H1321" i="1"/>
  <c r="I1321" i="1"/>
  <c r="BJ1321" i="1"/>
  <c r="BK1321" i="1"/>
  <c r="CQ1321" i="1"/>
  <c r="CR1321" i="1"/>
  <c r="CT1321" i="1"/>
  <c r="CU1321" i="1"/>
  <c r="H1322" i="1"/>
  <c r="I1322" i="1"/>
  <c r="BJ1322" i="1"/>
  <c r="BK1322" i="1"/>
  <c r="CQ1322" i="1"/>
  <c r="CR1322" i="1"/>
  <c r="CT1322" i="1"/>
  <c r="CU1322" i="1"/>
  <c r="H1323" i="1"/>
  <c r="I1323" i="1"/>
  <c r="BJ1323" i="1"/>
  <c r="BK1323" i="1"/>
  <c r="H1324" i="1"/>
  <c r="I1324" i="1"/>
  <c r="CQ1324" i="1"/>
  <c r="CR1324" i="1"/>
  <c r="CT1324" i="1"/>
  <c r="CU1324" i="1"/>
  <c r="H1325" i="1"/>
  <c r="I1325" i="1"/>
  <c r="CQ1325" i="1"/>
  <c r="CR1325" i="1"/>
  <c r="CT1325" i="1"/>
  <c r="CU1325" i="1"/>
  <c r="H1326" i="1"/>
  <c r="I1326" i="1"/>
  <c r="H1327" i="1"/>
  <c r="I1327" i="1"/>
  <c r="BJ1327" i="1"/>
  <c r="BK1327" i="1"/>
  <c r="H1328" i="1"/>
  <c r="I1328" i="1"/>
  <c r="BJ1328" i="1"/>
  <c r="BK1328" i="1"/>
  <c r="H1329" i="1"/>
  <c r="I1329" i="1"/>
  <c r="BJ1329" i="1"/>
  <c r="BK1329" i="1"/>
  <c r="DI1330" i="1"/>
  <c r="DJ1330" i="1"/>
  <c r="DI1331" i="1"/>
  <c r="DJ1331" i="1"/>
  <c r="DI1332" i="1"/>
  <c r="DJ1332" i="1"/>
  <c r="DI1333" i="1"/>
  <c r="DJ1333" i="1"/>
  <c r="DI1334" i="1"/>
  <c r="DJ1334" i="1"/>
  <c r="DI1335" i="1"/>
  <c r="DJ1335" i="1"/>
  <c r="DI1336" i="1"/>
  <c r="DJ1336" i="1"/>
  <c r="DI1337" i="1"/>
  <c r="DJ1337" i="1"/>
  <c r="DI1338" i="1"/>
  <c r="DJ1338" i="1"/>
  <c r="DI1339" i="1"/>
  <c r="DJ1339" i="1"/>
  <c r="DI1340" i="1"/>
  <c r="DJ1340" i="1"/>
  <c r="DI1341" i="1"/>
  <c r="DJ1341" i="1"/>
  <c r="DI1342" i="1"/>
  <c r="DJ1342" i="1"/>
  <c r="DI1343" i="1"/>
  <c r="DJ1343" i="1"/>
  <c r="DI1344" i="1"/>
  <c r="DJ1344" i="1"/>
  <c r="DI1345" i="1"/>
  <c r="DJ1345" i="1"/>
  <c r="DI1350" i="1"/>
  <c r="DJ1350" i="1"/>
  <c r="DI1351" i="1"/>
  <c r="DJ1351" i="1"/>
  <c r="DI1352" i="1"/>
  <c r="DJ1352" i="1"/>
  <c r="DI1353" i="1"/>
  <c r="DJ1353" i="1"/>
  <c r="DI1354" i="1"/>
  <c r="DJ1354" i="1"/>
  <c r="DI1355" i="1"/>
  <c r="DJ1355" i="1"/>
  <c r="DI1356" i="1"/>
  <c r="DJ1356" i="1"/>
  <c r="DI1357" i="1"/>
  <c r="DJ1357" i="1"/>
  <c r="DI1358" i="1"/>
  <c r="DJ1358" i="1"/>
  <c r="DI1359" i="1"/>
  <c r="DJ1359" i="1"/>
  <c r="DI1360" i="1"/>
  <c r="DJ1360" i="1"/>
  <c r="DI1361" i="1"/>
  <c r="DJ1361" i="1"/>
  <c r="DI1362" i="1"/>
  <c r="DJ1362" i="1"/>
  <c r="DI1363" i="1"/>
  <c r="DJ1363" i="1"/>
  <c r="DI1364" i="1"/>
  <c r="DJ1364" i="1"/>
  <c r="DI1365" i="1"/>
  <c r="DJ1365" i="1"/>
  <c r="DI1366" i="1"/>
  <c r="DJ1366" i="1"/>
  <c r="DI1367" i="1"/>
  <c r="DJ1367" i="1"/>
  <c r="DI1368" i="1"/>
  <c r="DJ1368" i="1"/>
  <c r="DI1369" i="1"/>
  <c r="DJ1369" i="1"/>
  <c r="DI1370" i="1"/>
  <c r="DJ1370" i="1"/>
  <c r="DI1371" i="1"/>
  <c r="DJ1371" i="1"/>
  <c r="DI1372" i="1"/>
  <c r="DJ1372" i="1"/>
  <c r="DI1373" i="1"/>
  <c r="DJ1373" i="1"/>
  <c r="DI1374" i="1"/>
  <c r="DJ1374" i="1"/>
  <c r="DI1375" i="1"/>
  <c r="DJ1375" i="1"/>
  <c r="DI1376" i="1"/>
  <c r="DJ1376" i="1"/>
  <c r="DI1377" i="1"/>
  <c r="DJ1377" i="1"/>
  <c r="AX1378" i="1"/>
  <c r="AX1379" i="1"/>
  <c r="AX1380" i="1"/>
  <c r="AX1381" i="1"/>
  <c r="AX1382" i="1"/>
  <c r="AX1383" i="1"/>
  <c r="AX1384" i="1"/>
  <c r="AX1385" i="1"/>
  <c r="DF1386" i="1"/>
  <c r="DG1386" i="1"/>
  <c r="DF1387" i="1"/>
  <c r="DG1387" i="1"/>
  <c r="DF1388" i="1"/>
  <c r="DG1388" i="1"/>
  <c r="DF1389" i="1"/>
  <c r="DG1389" i="1"/>
  <c r="H1412" i="1"/>
  <c r="I1412" i="1"/>
  <c r="J1412" i="1"/>
  <c r="X1412" i="1"/>
  <c r="Y1412" i="1" s="1"/>
  <c r="AB1412" i="1"/>
  <c r="H1413" i="1"/>
  <c r="I1413" i="1"/>
  <c r="J1413" i="1"/>
  <c r="X1413" i="1"/>
  <c r="Y1413" i="1" s="1"/>
  <c r="AB1413" i="1"/>
  <c r="H1414" i="1"/>
  <c r="I1414" i="1"/>
  <c r="J1414" i="1"/>
  <c r="X1414" i="1"/>
  <c r="Y1414" i="1" s="1"/>
  <c r="AB1414" i="1"/>
  <c r="BJ1414" i="1"/>
  <c r="BK1414" i="1"/>
  <c r="H1415" i="1"/>
  <c r="I1415" i="1"/>
  <c r="J1415" i="1"/>
  <c r="X1415" i="1"/>
  <c r="Y1415" i="1" s="1"/>
  <c r="AB1415" i="1"/>
  <c r="BJ1415" i="1"/>
  <c r="BK1415" i="1"/>
  <c r="H1416" i="1"/>
  <c r="I1416" i="1"/>
  <c r="J1416" i="1"/>
  <c r="X1416" i="1"/>
  <c r="Y1416" i="1" s="1"/>
  <c r="AB1416" i="1"/>
  <c r="BJ1416" i="1"/>
  <c r="BK1416" i="1"/>
  <c r="H1417" i="1"/>
  <c r="I1417" i="1"/>
  <c r="H1418" i="1"/>
  <c r="I1418" i="1"/>
  <c r="H1419" i="1"/>
  <c r="I1419" i="1"/>
  <c r="BJ1419" i="1"/>
  <c r="BK1419" i="1"/>
  <c r="H1420" i="1"/>
  <c r="I1420" i="1"/>
  <c r="BJ1420" i="1"/>
  <c r="BK1420" i="1"/>
  <c r="H1421" i="1"/>
  <c r="I1421" i="1"/>
  <c r="BJ1421" i="1"/>
  <c r="BK1421" i="1"/>
  <c r="BM1449" i="1"/>
  <c r="BN1449" i="1"/>
  <c r="EM1449" i="1"/>
  <c r="EN1449" i="1"/>
  <c r="W1451" i="1"/>
  <c r="BJ1451" i="1"/>
  <c r="BK1451" i="1"/>
  <c r="W1452" i="1"/>
  <c r="H1477" i="1"/>
  <c r="I1477" i="1"/>
  <c r="FH1477" i="1"/>
  <c r="FI1477" i="1"/>
  <c r="H1478" i="1"/>
  <c r="I1478" i="1"/>
  <c r="FH1478" i="1"/>
  <c r="FI1478" i="1"/>
  <c r="H1479" i="1"/>
  <c r="I1479" i="1"/>
  <c r="FH1479" i="1"/>
  <c r="FI1479" i="1"/>
  <c r="H1480" i="1"/>
  <c r="I1480" i="1"/>
  <c r="FH1480" i="1"/>
  <c r="FI1480" i="1"/>
  <c r="H1481" i="1"/>
  <c r="I1481" i="1"/>
  <c r="FH1481" i="1"/>
  <c r="FI1481" i="1"/>
  <c r="H1482" i="1"/>
  <c r="I1482" i="1"/>
  <c r="FH1482" i="1"/>
  <c r="FI1482" i="1"/>
  <c r="H1483" i="1"/>
  <c r="I1483" i="1"/>
  <c r="FH1483" i="1"/>
  <c r="FI1483" i="1"/>
  <c r="H1484" i="1"/>
  <c r="I1484" i="1"/>
  <c r="FH1484" i="1"/>
  <c r="FI1484" i="1"/>
  <c r="H1485" i="1"/>
  <c r="I1485" i="1"/>
  <c r="FH1485" i="1"/>
  <c r="FI1485" i="1"/>
  <c r="H1486" i="1"/>
  <c r="I1486" i="1"/>
  <c r="FH1486" i="1"/>
  <c r="FI1486" i="1"/>
  <c r="H1487" i="1"/>
  <c r="I1487" i="1"/>
  <c r="FH1487" i="1"/>
  <c r="FI1487" i="1"/>
  <c r="H1488" i="1"/>
  <c r="I1488" i="1"/>
  <c r="FH1488" i="1"/>
  <c r="FI1488" i="1"/>
  <c r="H1489" i="1"/>
  <c r="I1489" i="1"/>
  <c r="FH1489" i="1"/>
  <c r="FI1489" i="1"/>
  <c r="H1490" i="1"/>
  <c r="I1490" i="1"/>
  <c r="FH1490" i="1"/>
  <c r="FI1490" i="1"/>
  <c r="H1491" i="1"/>
  <c r="I1491" i="1"/>
  <c r="FH1491" i="1"/>
  <c r="FI1491" i="1"/>
  <c r="H1492" i="1"/>
  <c r="I1492" i="1"/>
  <c r="FH1492" i="1"/>
  <c r="FI1492" i="1"/>
  <c r="H1493" i="1"/>
  <c r="I1493" i="1"/>
  <c r="FH1493" i="1"/>
  <c r="FI1493" i="1"/>
  <c r="H1494" i="1"/>
  <c r="I1494" i="1"/>
  <c r="FH1494" i="1"/>
  <c r="FI1494" i="1"/>
  <c r="H1495" i="1"/>
  <c r="I1495" i="1"/>
  <c r="FH1495" i="1"/>
  <c r="H1496" i="1"/>
  <c r="I1496" i="1"/>
  <c r="FH1496" i="1"/>
  <c r="H1497" i="1"/>
  <c r="I1497" i="1"/>
  <c r="FH1497" i="1"/>
  <c r="H1498" i="1"/>
  <c r="I1498" i="1"/>
  <c r="FH1498" i="1"/>
  <c r="H1499" i="1"/>
  <c r="I1499" i="1"/>
  <c r="FH1499" i="1"/>
  <c r="H1500" i="1"/>
  <c r="I1500" i="1"/>
  <c r="DI1505" i="1"/>
  <c r="DJ1505" i="1"/>
  <c r="DI1506" i="1"/>
  <c r="DJ1506" i="1"/>
  <c r="DI1507" i="1"/>
  <c r="DJ1507" i="1"/>
  <c r="DI1508" i="1"/>
  <c r="DJ1508" i="1"/>
  <c r="DI1509" i="1"/>
  <c r="DJ1509" i="1"/>
  <c r="DI1510" i="1"/>
  <c r="DJ1510" i="1"/>
  <c r="DI1511" i="1"/>
  <c r="DJ1511" i="1"/>
  <c r="DI1512" i="1"/>
  <c r="DJ1512" i="1"/>
  <c r="DI1513" i="1"/>
  <c r="DJ1513" i="1"/>
  <c r="DI1514" i="1"/>
  <c r="DJ1514" i="1"/>
  <c r="DI1515" i="1"/>
  <c r="DJ1515" i="1"/>
  <c r="DI1516" i="1"/>
  <c r="DJ1516" i="1"/>
  <c r="DI1517" i="1"/>
  <c r="DJ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X1542" i="1"/>
  <c r="X1543" i="1"/>
  <c r="W1544" i="1"/>
  <c r="BM1544" i="1"/>
  <c r="BN1544" i="1"/>
  <c r="W1545" i="1"/>
  <c r="BM1545" i="1"/>
  <c r="BN1545" i="1"/>
  <c r="W1546" i="1"/>
  <c r="BM1546" i="1"/>
  <c r="BN1546" i="1"/>
  <c r="W1547" i="1"/>
  <c r="BM1547" i="1"/>
  <c r="BN1547" i="1"/>
  <c r="W1548" i="1"/>
  <c r="BM1548" i="1"/>
  <c r="BN1548" i="1"/>
  <c r="W1549" i="1"/>
  <c r="BM1549" i="1"/>
  <c r="BN1549" i="1"/>
  <c r="W1550" i="1"/>
  <c r="BM1550" i="1"/>
  <c r="BN1550" i="1"/>
  <c r="W1551" i="1"/>
  <c r="BM1551" i="1"/>
  <c r="BN1551" i="1"/>
  <c r="W1552" i="1"/>
  <c r="BM1552" i="1"/>
  <c r="BN1552" i="1"/>
  <c r="W1553" i="1"/>
  <c r="BM1553" i="1"/>
  <c r="BN1553" i="1"/>
  <c r="W1554" i="1"/>
  <c r="BM1554" i="1"/>
  <c r="BN1554" i="1"/>
  <c r="W1555" i="1"/>
  <c r="BM1555" i="1"/>
  <c r="BN1555" i="1"/>
  <c r="BM1568" i="1"/>
  <c r="BN1568" i="1"/>
  <c r="BM1569" i="1"/>
  <c r="BN1569" i="1"/>
  <c r="BM1570" i="1"/>
  <c r="BN1570" i="1"/>
  <c r="BM1571" i="1"/>
  <c r="BN1571" i="1"/>
  <c r="BM1572" i="1"/>
  <c r="BN1572" i="1"/>
  <c r="BM1573" i="1"/>
  <c r="BN1573" i="1"/>
  <c r="BM1574" i="1"/>
  <c r="BN1574" i="1"/>
  <c r="BM1575" i="1"/>
  <c r="BN1575" i="1"/>
  <c r="BM1576" i="1"/>
  <c r="BN1576" i="1"/>
  <c r="BM1577" i="1"/>
  <c r="BN1577" i="1"/>
  <c r="BM1578" i="1"/>
  <c r="BN1578" i="1"/>
  <c r="BM1579" i="1"/>
  <c r="BN1579" i="1"/>
  <c r="BM1580" i="1"/>
  <c r="BN1580" i="1"/>
  <c r="BM1581" i="1"/>
  <c r="BN1581" i="1"/>
  <c r="BM1582" i="1"/>
  <c r="BN1582" i="1"/>
  <c r="BM1583" i="1"/>
  <c r="BN1583" i="1"/>
  <c r="BM1584" i="1"/>
  <c r="BN1584" i="1"/>
  <c r="BM1585" i="1"/>
  <c r="BN1585" i="1"/>
  <c r="BM1586" i="1"/>
  <c r="BN1586" i="1"/>
  <c r="BM1587" i="1"/>
  <c r="BN1587" i="1"/>
  <c r="BM1588" i="1"/>
  <c r="BN1588" i="1"/>
  <c r="BM1589" i="1"/>
  <c r="BN1589" i="1"/>
  <c r="BM1590" i="1"/>
  <c r="BN1590" i="1"/>
  <c r="BM1591" i="1"/>
  <c r="BN1591" i="1"/>
  <c r="BM1592" i="1"/>
  <c r="BN1592" i="1"/>
  <c r="BM1593" i="1"/>
  <c r="BN1593" i="1"/>
  <c r="BM1594" i="1"/>
  <c r="BN1594" i="1"/>
  <c r="BM1595" i="1"/>
  <c r="BN1595" i="1"/>
  <c r="BM1596" i="1"/>
  <c r="BN1596" i="1"/>
  <c r="BM1597" i="1"/>
  <c r="BN1597" i="1"/>
  <c r="BM1598" i="1"/>
  <c r="BN1598" i="1"/>
  <c r="BM1599" i="1"/>
  <c r="BN1599" i="1"/>
  <c r="BM1600" i="1"/>
  <c r="BN1600" i="1"/>
  <c r="BM1601" i="1"/>
  <c r="BN1601" i="1"/>
  <c r="BM1602" i="1"/>
  <c r="BN1602" i="1"/>
  <c r="BM1603" i="1"/>
  <c r="BN1603" i="1"/>
  <c r="BM1604" i="1"/>
  <c r="BN1604" i="1"/>
  <c r="BM1605" i="1"/>
  <c r="BN1605" i="1"/>
  <c r="BM1606" i="1"/>
  <c r="BN1606" i="1"/>
  <c r="BM1607" i="1"/>
  <c r="BN1607" i="1"/>
  <c r="BM1608" i="1"/>
  <c r="BN1608" i="1"/>
  <c r="BM1609" i="1"/>
  <c r="BN1609" i="1"/>
  <c r="BM1610" i="1"/>
  <c r="BN1610" i="1"/>
  <c r="BM1611" i="1"/>
  <c r="BN1611" i="1"/>
  <c r="BM1612" i="1"/>
  <c r="BN1612" i="1"/>
  <c r="BM1613" i="1"/>
  <c r="BN1613" i="1"/>
  <c r="BM1614" i="1"/>
  <c r="BN1614" i="1"/>
  <c r="BM1615" i="1"/>
  <c r="BN1615" i="1"/>
  <c r="EM1666" i="1"/>
  <c r="EN1666" i="1"/>
  <c r="FH1666" i="1"/>
  <c r="FI1666" i="1"/>
  <c r="EM1667" i="1"/>
  <c r="EN1667" i="1"/>
  <c r="FH1667" i="1"/>
  <c r="FI1667" i="1"/>
  <c r="H1668" i="1"/>
  <c r="I1668" i="1"/>
  <c r="Y1668" i="1"/>
  <c r="X1668" i="1" s="1"/>
  <c r="AB1668" i="1"/>
  <c r="BJ1668" i="1"/>
  <c r="BK1668" i="1"/>
  <c r="CH1668" i="1"/>
  <c r="CI1668" i="1"/>
  <c r="CQ1668" i="1"/>
  <c r="H1669" i="1"/>
  <c r="Y1669" i="1"/>
  <c r="H1670" i="1"/>
  <c r="Y1670" i="1"/>
  <c r="H1671" i="1"/>
  <c r="Y1671" i="1"/>
  <c r="H1672" i="1"/>
  <c r="Y1672" i="1"/>
  <c r="CO58" i="1"/>
  <c r="BM1501" i="1"/>
  <c r="BN1501" i="1"/>
  <c r="BM1502" i="1"/>
  <c r="BN1502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BD1793" i="1"/>
  <c r="BE1793" i="1"/>
  <c r="BD1794" i="1"/>
  <c r="BE1794" i="1"/>
  <c r="BD1795" i="1"/>
  <c r="BE1795" i="1"/>
  <c r="BD1796" i="1"/>
  <c r="BE1796" i="1"/>
  <c r="W1797" i="1"/>
  <c r="BM1797" i="1"/>
  <c r="BN1797" i="1"/>
  <c r="W1798" i="1"/>
  <c r="BM1798" i="1"/>
  <c r="BN1798" i="1"/>
  <c r="W1799" i="1"/>
  <c r="BM1799" i="1"/>
  <c r="BN1799" i="1"/>
  <c r="W1800" i="1"/>
  <c r="BM1800" i="1"/>
  <c r="BN1800" i="1"/>
  <c r="W1801" i="1"/>
  <c r="BM1801" i="1"/>
  <c r="BN1801" i="1"/>
  <c r="W1802" i="1"/>
  <c r="BM1802" i="1"/>
  <c r="BN1802" i="1"/>
  <c r="W1803" i="1"/>
  <c r="BM1803" i="1"/>
  <c r="BN1803" i="1"/>
  <c r="W1804" i="1"/>
  <c r="BM1804" i="1"/>
  <c r="BN1804" i="1"/>
  <c r="W1805" i="1"/>
  <c r="BM1805" i="1"/>
  <c r="BN1805" i="1"/>
  <c r="W1806" i="1"/>
  <c r="BM1806" i="1"/>
  <c r="BN1806" i="1"/>
  <c r="W1807" i="1"/>
  <c r="BM1807" i="1"/>
  <c r="BN1807" i="1"/>
  <c r="W1808" i="1"/>
  <c r="BM1808" i="1"/>
  <c r="BN1808" i="1"/>
  <c r="W1809" i="1"/>
  <c r="BM1809" i="1"/>
  <c r="BN1809" i="1"/>
  <c r="W1810" i="1"/>
  <c r="BM1810" i="1"/>
  <c r="BN1810" i="1"/>
  <c r="W1811" i="1"/>
  <c r="BM1811" i="1"/>
  <c r="BN1811" i="1"/>
  <c r="W1812" i="1"/>
  <c r="BM1812" i="1"/>
  <c r="BN1812" i="1"/>
  <c r="W1813" i="1"/>
  <c r="BM1813" i="1"/>
  <c r="BN1813" i="1"/>
  <c r="W1814" i="1"/>
  <c r="BM1814" i="1"/>
  <c r="BN1814" i="1"/>
  <c r="W1815" i="1"/>
  <c r="BM1815" i="1"/>
  <c r="BN1815" i="1"/>
  <c r="W1816" i="1"/>
  <c r="BM1816" i="1"/>
  <c r="BN1816" i="1"/>
  <c r="W1817" i="1"/>
  <c r="BM1817" i="1"/>
  <c r="BN1817" i="1"/>
  <c r="W1818" i="1"/>
  <c r="BM1818" i="1"/>
  <c r="BN1818" i="1"/>
  <c r="W1819" i="1"/>
  <c r="BM1819" i="1"/>
  <c r="BN1819" i="1"/>
  <c r="W1820" i="1"/>
  <c r="BM1820" i="1"/>
  <c r="BN1820" i="1"/>
  <c r="K43" i="3" l="1"/>
  <c r="C43" i="3"/>
  <c r="C26" i="3"/>
  <c r="E34" i="3"/>
  <c r="C35" i="3"/>
  <c r="E35" i="3"/>
  <c r="C65" i="3" l="1"/>
  <c r="E65" i="3" s="1"/>
  <c r="F114" i="2" l="1"/>
  <c r="E114" i="2"/>
  <c r="C64" i="3" l="1"/>
  <c r="M35" i="3" l="1"/>
  <c r="C37" i="3" s="1"/>
  <c r="E37" i="3" s="1"/>
  <c r="G48" i="3"/>
  <c r="C48" i="3" s="1"/>
  <c r="E48" i="3" s="1"/>
  <c r="E38" i="3" l="1"/>
  <c r="C62" i="3" l="1"/>
  <c r="M37" i="3"/>
  <c r="O38" i="3"/>
  <c r="N38" i="3"/>
  <c r="M38" i="3"/>
  <c r="O37" i="3"/>
  <c r="N37" i="3"/>
  <c r="C80" i="3" l="1"/>
  <c r="E80" i="3" s="1"/>
  <c r="C36" i="3"/>
  <c r="E36" i="3" s="1"/>
  <c r="I43" i="3"/>
  <c r="C7" i="3" l="1"/>
  <c r="J43" i="3" l="1"/>
  <c r="C71" i="3" l="1"/>
  <c r="C72" i="3" s="1"/>
  <c r="G71" i="3"/>
  <c r="C56" i="3"/>
  <c r="E56" i="3" s="1"/>
  <c r="E54" i="3"/>
  <c r="I54" i="3"/>
  <c r="C53" i="3"/>
  <c r="I53" i="3"/>
  <c r="H64" i="3"/>
  <c r="C63" i="3"/>
  <c r="E63" i="3" s="1"/>
  <c r="E62" i="3"/>
  <c r="H15" i="4"/>
  <c r="E71" i="3" l="1"/>
  <c r="T10" i="4" l="1"/>
  <c r="T11" i="4"/>
  <c r="T12" i="4"/>
  <c r="T13" i="4"/>
  <c r="T9" i="4"/>
  <c r="E47" i="3" l="1"/>
  <c r="E46" i="3" l="1"/>
  <c r="E44" i="3"/>
  <c r="E45" i="3"/>
  <c r="E64" i="3"/>
  <c r="L55" i="3"/>
  <c r="C55" i="3" s="1"/>
  <c r="E55" i="3" s="1"/>
  <c r="E43" i="3" l="1"/>
  <c r="E20" i="4" l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E25" i="3" l="1"/>
  <c r="E53" i="3" l="1"/>
  <c r="E24" i="3" l="1"/>
  <c r="E23" i="3"/>
</calcChain>
</file>

<file path=xl/sharedStrings.xml><?xml version="1.0" encoding="utf-8"?>
<sst xmlns="http://schemas.openxmlformats.org/spreadsheetml/2006/main" count="43491" uniqueCount="1948">
  <si>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</si>
  <si>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</si>
  <si>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</si>
  <si>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</si>
  <si>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</si>
  <si>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</si>
  <si>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</si>
  <si>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</si>
  <si>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</si>
  <si>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</si>
  <si>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</si>
  <si>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</si>
  <si>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</si>
  <si>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</si>
  <si>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</si>
  <si>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</si>
  <si>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</si>
  <si>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</si>
  <si>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</si>
  <si>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</si>
  <si>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</si>
  <si>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</si>
  <si>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</si>
  <si>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</si>
  <si>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</si>
  <si>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</si>
  <si>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</si>
  <si>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</si>
  <si>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</si>
  <si>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</si>
  <si>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</si>
  <si>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</si>
  <si>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</si>
  <si>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</si>
  <si>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</si>
  <si>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</si>
  <si>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</si>
  <si>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</si>
  <si>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</si>
  <si>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</si>
  <si>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</si>
  <si>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</si>
  <si>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</si>
  <si>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</si>
  <si>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</si>
  <si>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</si>
  <si>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</si>
  <si>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</si>
  <si>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</si>
  <si>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</si>
  <si>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</si>
  <si>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</si>
  <si>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</si>
  <si>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</si>
  <si>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</si>
  <si>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</si>
  <si>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</si>
  <si>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</si>
  <si>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</si>
  <si>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</si>
  <si>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</si>
  <si>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</si>
  <si>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</si>
  <si>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</si>
  <si>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</si>
  <si>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</si>
  <si>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</si>
  <si>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</si>
  <si>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</si>
  <si>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</si>
  <si>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</si>
  <si>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</si>
  <si>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</si>
  <si>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</si>
  <si>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</si>
  <si>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</si>
  <si>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</si>
  <si>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</si>
  <si>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</si>
  <si>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</si>
  <si>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</si>
  <si>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</si>
  <si>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</si>
  <si>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</si>
  <si>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</si>
  <si>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</si>
  <si>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</si>
  <si>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</si>
  <si>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</si>
  <si>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</si>
  <si>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</si>
  <si>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</si>
  <si>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</si>
  <si>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</si>
  <si>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</si>
  <si>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</si>
  <si>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</si>
  <si>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</si>
  <si>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</si>
  <si>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</si>
  <si>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</si>
  <si>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</si>
  <si>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</si>
  <si>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</si>
  <si>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</si>
  <si>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</si>
  <si>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</si>
  <si>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</si>
  <si>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</si>
  <si>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</si>
  <si>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</si>
  <si>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</si>
  <si>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</si>
  <si>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</si>
  <si>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</si>
  <si>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</si>
  <si>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</si>
  <si>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</si>
  <si>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</si>
  <si>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</si>
  <si>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</si>
  <si>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Nmina_T</t>
  </si>
  <si>
    <t>Nmina_C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</si>
  <si>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</si>
  <si>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</si>
  <si>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</si>
  <si>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</si>
  <si>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</si>
  <si>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</si>
  <si>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</si>
  <si>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</si>
  <si>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</si>
  <si>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</si>
  <si>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</si>
  <si>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</si>
  <si>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</si>
  <si>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</si>
  <si>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</si>
  <si>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Abawi</t>
  </si>
  <si>
    <t>G.S.</t>
  </si>
  <si>
    <t>Applied Soil Ecology</t>
  </si>
  <si>
    <t>New York</t>
  </si>
  <si>
    <t>Alfalfa</t>
  </si>
  <si>
    <t>Ryegrass</t>
  </si>
  <si>
    <t>Wheat</t>
  </si>
  <si>
    <t>Rapeseed</t>
  </si>
  <si>
    <t>TimeAfterCoverCrop</t>
  </si>
  <si>
    <t>Fallow</t>
  </si>
  <si>
    <t>Root diseases determined by root rot, ranged from 1(no root rot observed) to 9 (80% roots infected)</t>
  </si>
  <si>
    <t>SandPerc</t>
  </si>
  <si>
    <t>SiltPerc</t>
  </si>
  <si>
    <t>Percentage of sand</t>
  </si>
  <si>
    <t>Percentage of silt</t>
  </si>
  <si>
    <t>Bandic</t>
  </si>
  <si>
    <t>Anna</t>
  </si>
  <si>
    <t>Soil Biology and Biochemistry</t>
  </si>
  <si>
    <t xml:space="preserve">North  Willamette  Research  and Extension  Center,  Aurora,  Oregon </t>
  </si>
  <si>
    <t>Units: m</t>
  </si>
  <si>
    <t>Vegetable crop rotation</t>
  </si>
  <si>
    <t>Rye</t>
  </si>
  <si>
    <t>Corn</t>
  </si>
  <si>
    <t xml:space="preserve"> Mediterranean</t>
  </si>
  <si>
    <t>Units: mm</t>
  </si>
  <si>
    <t>Blackshaw</t>
  </si>
  <si>
    <t>R.E.</t>
  </si>
  <si>
    <t xml:space="preserve">Crop Protection </t>
  </si>
  <si>
    <t>Lethbridge, AB, Canada</t>
  </si>
  <si>
    <t>Loam</t>
  </si>
  <si>
    <t>ExperimentDesign</t>
  </si>
  <si>
    <t>RCBD</t>
  </si>
  <si>
    <t>CRD,RCBD etc.</t>
  </si>
  <si>
    <t>Others</t>
  </si>
  <si>
    <t>No herbicide</t>
  </si>
  <si>
    <t>With herbicide</t>
  </si>
  <si>
    <t>Weed_T</t>
  </si>
  <si>
    <t>Weed_C</t>
  </si>
  <si>
    <t>Weed of treatment (mean value)</t>
  </si>
  <si>
    <t>Weed of control (mean value)</t>
  </si>
  <si>
    <t>Blanco-Canqui</t>
  </si>
  <si>
    <t>Humberto</t>
  </si>
  <si>
    <t>Soil and Water Management and Conservation</t>
  </si>
  <si>
    <t>Hesston,  KS</t>
  </si>
  <si>
    <t>MBC_C</t>
  </si>
  <si>
    <t>Units: mg kg-1 soil</t>
  </si>
  <si>
    <t>Organic Matter</t>
  </si>
  <si>
    <t>Units: cmolc kg-1</t>
  </si>
  <si>
    <t>Fall, before planting of cover crop</t>
  </si>
  <si>
    <t>cm</t>
  </si>
  <si>
    <t>No tillage</t>
  </si>
  <si>
    <t>Wheat-grain sorghum rotation</t>
  </si>
  <si>
    <t>Soybean</t>
  </si>
  <si>
    <t>Hemp</t>
  </si>
  <si>
    <t>No cover crop</t>
  </si>
  <si>
    <t>0 kg N per ha</t>
  </si>
  <si>
    <t>66 kg N per ha</t>
  </si>
  <si>
    <t>SOC</t>
  </si>
  <si>
    <t>%</t>
  </si>
  <si>
    <t>g/kg</t>
  </si>
  <si>
    <t xml:space="preserve"> Garden City, KS</t>
  </si>
  <si>
    <t>Subplot, Cover</t>
  </si>
  <si>
    <t>Subplot, Hayed</t>
  </si>
  <si>
    <t>Sometimes, SD column acts like comments</t>
  </si>
  <si>
    <t>1 g/kg = 0.1 %</t>
  </si>
  <si>
    <t>Units: Mg per ha</t>
  </si>
  <si>
    <t>Sediment loess</t>
  </si>
  <si>
    <t>Unites: kg per kg (gravimetric water content)</t>
  </si>
  <si>
    <t>Bloszies</t>
  </si>
  <si>
    <t>Sean Alaric</t>
  </si>
  <si>
    <t>PhD Dissertation</t>
  </si>
  <si>
    <t xml:space="preserve"> Split-split-plot RCBD</t>
  </si>
  <si>
    <t>Loamy sand</t>
  </si>
  <si>
    <t>Conventional disk tillage</t>
  </si>
  <si>
    <t>No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</si>
  <si>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</si>
  <si>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</si>
  <si>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</si>
  <si>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</si>
  <si>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</si>
  <si>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</si>
  <si>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Aggregate mean weight diameter (mm)</t>
  </si>
  <si>
    <t>Units:  mg CO2 kg−1 soil d−1</t>
  </si>
  <si>
    <t>SamplingYear</t>
  </si>
  <si>
    <t>Bottomley</t>
  </si>
  <si>
    <t>P.J.</t>
  </si>
  <si>
    <t>Aurora, OR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</si>
  <si>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</si>
  <si>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</si>
  <si>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</si>
  <si>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</si>
  <si>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</si>
  <si>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</si>
  <si>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</si>
  <si>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</si>
  <si>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</si>
  <si>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</si>
  <si>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Brainard</t>
  </si>
  <si>
    <t>D.C.</t>
  </si>
  <si>
    <t>Agriculture, Ecosystems and Environment</t>
  </si>
  <si>
    <t>Benton Harbor MI USA</t>
  </si>
  <si>
    <t>May</t>
  </si>
  <si>
    <t>Sand</t>
  </si>
  <si>
    <t>Sweet corn ratation with broccoli</t>
  </si>
  <si>
    <t>NPK fertilization</t>
  </si>
  <si>
    <t>Hiniker1 Model 6000 two-row strip-tiller tillage</t>
  </si>
  <si>
    <t>Rotation with sweet corn</t>
  </si>
  <si>
    <t>t/ha</t>
  </si>
  <si>
    <t>Bruce</t>
  </si>
  <si>
    <t>R.R.</t>
  </si>
  <si>
    <t>Watkinsville, GA</t>
  </si>
  <si>
    <r>
      <t>Soil Science Society of America Journal</t>
    </r>
    <r>
      <rPr>
        <sz val="10"/>
        <color rgb="FFFF0000"/>
        <rFont val="Arial"/>
        <family val="2"/>
      </rPr>
      <t> </t>
    </r>
  </si>
  <si>
    <t>March</t>
  </si>
  <si>
    <t>E1, slightly erosion</t>
  </si>
  <si>
    <t>E2, Moderately erosion</t>
  </si>
  <si>
    <t>E3, Severely erosion</t>
  </si>
  <si>
    <t>Fertilization_T</t>
  </si>
  <si>
    <t>Fertilization_C</t>
  </si>
  <si>
    <t>No-tillage</t>
  </si>
  <si>
    <t xml:space="preserve"> Disk-harrowed seedbed</t>
  </si>
  <si>
    <t>Sorghum</t>
  </si>
  <si>
    <t>Bulan</t>
  </si>
  <si>
    <t>Mary T. Saunders</t>
  </si>
  <si>
    <t>Weed Science</t>
  </si>
  <si>
    <t xml:space="preserve"> University of Wisconsin West Madison Agricultural Research Station</t>
  </si>
  <si>
    <t xml:space="preserve"> University of Wisconsin Arlington Agricultural Research Station</t>
  </si>
  <si>
    <t>July</t>
  </si>
  <si>
    <t>August</t>
  </si>
  <si>
    <t>September</t>
  </si>
  <si>
    <t>Vegetable</t>
  </si>
  <si>
    <t>Buckwheat</t>
  </si>
  <si>
    <t>Conventional tillage</t>
  </si>
  <si>
    <t>N_C</t>
  </si>
  <si>
    <t>N_T</t>
  </si>
  <si>
    <t>TN</t>
  </si>
  <si>
    <t>Weed-free and weedy aggregated</t>
  </si>
  <si>
    <t>Buyer</t>
  </si>
  <si>
    <t>Jeffrey S.</t>
  </si>
  <si>
    <t>Bare</t>
  </si>
  <si>
    <t xml:space="preserve"> Beltsville, Maryland</t>
  </si>
  <si>
    <t>Sandy loam</t>
  </si>
  <si>
    <t>Lime and nutrients were applied</t>
  </si>
  <si>
    <t>Tomato</t>
  </si>
  <si>
    <t>Vetch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</si>
  <si>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</si>
  <si>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</si>
  <si>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</si>
  <si>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</si>
  <si>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</si>
  <si>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</si>
  <si>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</si>
  <si>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</si>
  <si>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</si>
  <si>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</si>
  <si>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</si>
  <si>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</si>
  <si>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</si>
  <si>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</si>
  <si>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</si>
  <si>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</si>
  <si>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</si>
  <si>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</si>
  <si>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</si>
  <si>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</si>
  <si>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</si>
  <si>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Campbell</t>
  </si>
  <si>
    <t>R.B.</t>
  </si>
  <si>
    <t>Soil and tillage research</t>
  </si>
  <si>
    <t xml:space="preserve">Standing residues </t>
  </si>
  <si>
    <t>76-cm row spacing</t>
  </si>
  <si>
    <t>97-cm row spacing</t>
  </si>
  <si>
    <t>DE vs HE</t>
  </si>
  <si>
    <t>DL vs HL</t>
  </si>
  <si>
    <t>Darlington  County  South  Carolina</t>
  </si>
  <si>
    <t>Florence  of  South  Carolina</t>
  </si>
  <si>
    <t>C.A.</t>
  </si>
  <si>
    <t>Canadian  Journal Of Soil Science</t>
  </si>
  <si>
    <t>Indian Head,  Saskatchewan</t>
  </si>
  <si>
    <t>Sweetclover</t>
  </si>
  <si>
    <t>6 kg N per ha</t>
  </si>
  <si>
    <t>Fallow-Wheat at spring</t>
  </si>
  <si>
    <t>24 kg N per ha</t>
  </si>
  <si>
    <t>kg/ha/day</t>
  </si>
  <si>
    <t>SoilBD</t>
  </si>
  <si>
    <t>Bulk density</t>
  </si>
  <si>
    <t>1 kg=10^6 mg</t>
  </si>
  <si>
    <t>1627500 Kg when BD = 1.085 (Study No. 13)</t>
  </si>
  <si>
    <t>GM-(W)-W</t>
  </si>
  <si>
    <t>(GM)-W-W</t>
  </si>
  <si>
    <t>(F)-W-W-H-H-H</t>
  </si>
  <si>
    <t>F-W-W-(H)-H-H</t>
  </si>
  <si>
    <t>1 ha = 100*100*0.15*BD*1000 kg</t>
  </si>
  <si>
    <t>Microbial biomass N available</t>
  </si>
  <si>
    <t>CNOfManure</t>
  </si>
  <si>
    <t>Carbon to nitrogen ratio from the dry biomass of cover crop (related to manure quality)</t>
  </si>
  <si>
    <t>Carr</t>
  </si>
  <si>
    <t>Patrick M.</t>
  </si>
  <si>
    <t>Dickinson, North Dakota</t>
  </si>
  <si>
    <t>Renewable Agriculture and Food Systems</t>
  </si>
  <si>
    <t>Disk</t>
  </si>
  <si>
    <t>Sweep</t>
  </si>
  <si>
    <t>Roller</t>
  </si>
  <si>
    <t>Duiker</t>
  </si>
  <si>
    <t>Sjoerd</t>
  </si>
  <si>
    <t>Agronomy Journal</t>
  </si>
  <si>
    <t>Rock Springs, Center County, PA</t>
  </si>
  <si>
    <t>71 kg N per ha</t>
  </si>
  <si>
    <t>Early plant</t>
  </si>
  <si>
    <t>Late plant</t>
  </si>
  <si>
    <t>Ess</t>
  </si>
  <si>
    <t>D.R.</t>
  </si>
  <si>
    <t>American Society of Agricultural Engineers</t>
  </si>
  <si>
    <t xml:space="preserve">Virginia Tech Whitethorne Research Farm </t>
  </si>
  <si>
    <t>Tilled to 0.3m</t>
  </si>
  <si>
    <t>Fertilized</t>
  </si>
  <si>
    <t>Fallow with herbicide</t>
  </si>
  <si>
    <t>Noncapillary porosity (%)</t>
  </si>
  <si>
    <t>Units: cm/h</t>
  </si>
  <si>
    <t>Maximum dry density</t>
  </si>
  <si>
    <t>Finney</t>
  </si>
  <si>
    <t>Denise M.</t>
  </si>
  <si>
    <t>Larson Agricultural Research Center, Rock Springs, PA</t>
  </si>
  <si>
    <t>Oat–corn</t>
  </si>
  <si>
    <t xml:space="preserve"> 150 kg N per ha</t>
  </si>
  <si>
    <t>8CCa</t>
  </si>
  <si>
    <t>8CCb</t>
  </si>
  <si>
    <t>Potential leachable nitrate: kg No3-n per ha</t>
  </si>
  <si>
    <t>Sometimes, Leaching nutrient</t>
  </si>
  <si>
    <t>1 ha = Mg</t>
  </si>
  <si>
    <t>1 ha = Kg</t>
  </si>
  <si>
    <t>Chloroform fumigation±extraction method</t>
  </si>
  <si>
    <t>Sno.13</t>
  </si>
  <si>
    <t>Potentially mineralizable C</t>
  </si>
  <si>
    <t>Journal Of Soil And Water Conservation</t>
  </si>
  <si>
    <t>Fall, two months after cover crop</t>
  </si>
  <si>
    <t>Spring, eight months after cover crop</t>
  </si>
  <si>
    <t>Other 6 microbial indicators available, fungal to bacterial available</t>
  </si>
  <si>
    <t>mu g C per g per day</t>
  </si>
  <si>
    <t>Hargrove</t>
  </si>
  <si>
    <t>W.L.</t>
  </si>
  <si>
    <t>Bledsoe Research Farm near Griffin, GA</t>
  </si>
  <si>
    <t>Split-split-plot RCBD</t>
  </si>
  <si>
    <t>0 N fertilization</t>
  </si>
  <si>
    <t>112 N fertilization</t>
  </si>
  <si>
    <t>0 Kg N per ha</t>
  </si>
  <si>
    <t>112 Kg N per ha</t>
  </si>
  <si>
    <t>Year and soil depth interaction not valid</t>
  </si>
  <si>
    <t>1 dag = 0.1 g</t>
  </si>
  <si>
    <t>%=0.01g/g</t>
  </si>
  <si>
    <t>10mg/g</t>
  </si>
  <si>
    <t>10000 mg / kg</t>
  </si>
  <si>
    <t>Nitrate-nitrogen in ppm</t>
  </si>
  <si>
    <t>PPM</t>
  </si>
  <si>
    <t>ppm=0.0001%</t>
  </si>
  <si>
    <t>Soil inorganic N</t>
  </si>
  <si>
    <t>Units of N need check</t>
  </si>
  <si>
    <t>Inorganic N available</t>
  </si>
  <si>
    <t>Michigan State University Horticulture Teaching and Research Center in Holt, MI</t>
  </si>
  <si>
    <t>Hayden</t>
  </si>
  <si>
    <t>Zachary</t>
  </si>
  <si>
    <t>Crop Ecology and Physiology</t>
  </si>
  <si>
    <t>Control set as 100, no units</t>
  </si>
  <si>
    <t>Hinds</t>
  </si>
  <si>
    <t>Jermaine</t>
  </si>
  <si>
    <t>Crop Protection</t>
  </si>
  <si>
    <t>5-10-10(N-P-K)</t>
  </si>
  <si>
    <t>UM, Research and Education Center in Upper Marlboro, MD</t>
  </si>
  <si>
    <t>QT, Research and Education Center in Upper Marlboro, MD</t>
  </si>
  <si>
    <t>Diseases_T</t>
  </si>
  <si>
    <t>Diseases_C</t>
  </si>
  <si>
    <t>Beetles per plant</t>
  </si>
  <si>
    <t>14 Days</t>
  </si>
  <si>
    <t>21 Days</t>
  </si>
  <si>
    <t>28 Days</t>
  </si>
  <si>
    <t>35 Days</t>
  </si>
  <si>
    <t>42 Days</t>
  </si>
  <si>
    <t>49 Days</t>
  </si>
  <si>
    <t>Spots cucumber beetles, spider number available</t>
  </si>
  <si>
    <t>Zucchini</t>
  </si>
  <si>
    <t>Organic fertilizer</t>
  </si>
  <si>
    <t>Synthetic fertilizer</t>
  </si>
  <si>
    <t>Nematode enrichment</t>
  </si>
  <si>
    <t>September 1ST</t>
  </si>
  <si>
    <t>September 21ST</t>
  </si>
  <si>
    <t>Other nematode indicators available</t>
  </si>
  <si>
    <t>Biological Agriculture and Horticulture</t>
  </si>
  <si>
    <t>26 days</t>
  </si>
  <si>
    <t>28 days</t>
  </si>
  <si>
    <t>30 days</t>
  </si>
  <si>
    <t>31 days</t>
  </si>
  <si>
    <t>33 days</t>
  </si>
  <si>
    <t>35 days</t>
  </si>
  <si>
    <t>37 days</t>
  </si>
  <si>
    <t>39 days</t>
  </si>
  <si>
    <t>41 days</t>
  </si>
  <si>
    <t>43 days</t>
  </si>
  <si>
    <t>45 days</t>
  </si>
  <si>
    <t>47 days</t>
  </si>
  <si>
    <t>46 days</t>
  </si>
  <si>
    <t>34 days</t>
  </si>
  <si>
    <t>36 days</t>
  </si>
  <si>
    <t>40 days</t>
  </si>
  <si>
    <t>48 days</t>
  </si>
  <si>
    <t>51 days</t>
  </si>
  <si>
    <t>29 days</t>
  </si>
  <si>
    <t>32 days</t>
  </si>
  <si>
    <t>38 days</t>
  </si>
  <si>
    <t>42 days</t>
  </si>
  <si>
    <t>44 days</t>
  </si>
  <si>
    <t>49 days</t>
  </si>
  <si>
    <t>50 days</t>
  </si>
  <si>
    <t>Journal of Nematology</t>
  </si>
  <si>
    <t>Hubbard</t>
  </si>
  <si>
    <t>Robert K.</t>
  </si>
  <si>
    <t>Tifton, GA</t>
  </si>
  <si>
    <t>Conservation tillage</t>
  </si>
  <si>
    <t>Rotation with cover crop</t>
  </si>
  <si>
    <t>133 Kg N per ha</t>
  </si>
  <si>
    <t>67 Kg N per ha</t>
  </si>
  <si>
    <t>mg/g</t>
  </si>
  <si>
    <t>Idowu</t>
  </si>
  <si>
    <t>Q.J.</t>
  </si>
  <si>
    <t>Bean–beet–sweet corn–cabbage–bean</t>
  </si>
  <si>
    <t>Bean–ﬁeld corn–clover/grain–sweet corn–bean</t>
  </si>
  <si>
    <t>Four sites averaged</t>
  </si>
  <si>
    <t>No tillage, plow-till, and zone tillage</t>
  </si>
  <si>
    <t>Units: g/g</t>
  </si>
  <si>
    <t>AWC</t>
  </si>
  <si>
    <t>Units: mg/kg</t>
  </si>
  <si>
    <t>Active carbon</t>
  </si>
  <si>
    <t>Mg, Fe, Zn, CSHI available</t>
  </si>
  <si>
    <t>Jani</t>
  </si>
  <si>
    <t>Arun D.</t>
  </si>
  <si>
    <t>Goldsboro</t>
  </si>
  <si>
    <t xml:space="preserve">Kinston </t>
  </si>
  <si>
    <t>Conventional tillage,Disked</t>
  </si>
  <si>
    <t>Pea</t>
  </si>
  <si>
    <t>Clover</t>
  </si>
  <si>
    <t>0 week</t>
  </si>
  <si>
    <t>2 week</t>
  </si>
  <si>
    <t>4 week</t>
  </si>
  <si>
    <t>6 week</t>
  </si>
  <si>
    <t>8 week</t>
  </si>
  <si>
    <t>12 week</t>
  </si>
  <si>
    <t>16 week</t>
  </si>
  <si>
    <t>Conventional tillage,Roller Crimped</t>
  </si>
  <si>
    <t>NH4-NO3</t>
  </si>
  <si>
    <t>Disked</t>
  </si>
  <si>
    <t>Roller Crimping</t>
  </si>
  <si>
    <t>N release dynamic indicator available</t>
  </si>
  <si>
    <t>Other meta information</t>
  </si>
  <si>
    <t>Jernigan</t>
  </si>
  <si>
    <t>Ashley B.</t>
  </si>
  <si>
    <t>Weed Science Society of America</t>
  </si>
  <si>
    <t>Freeville, NY</t>
  </si>
  <si>
    <t>April</t>
  </si>
  <si>
    <t>Rotated with 6 cash crops</t>
  </si>
  <si>
    <t>Compost</t>
  </si>
  <si>
    <t>Jiang</t>
  </si>
  <si>
    <t>P.</t>
  </si>
  <si>
    <t>SSSA</t>
  </si>
  <si>
    <t>Centrralia in Missouri</t>
  </si>
  <si>
    <t>Silt</t>
  </si>
  <si>
    <t>Corn-soybean-wheat rotation</t>
  </si>
  <si>
    <t>multch tillage</t>
  </si>
  <si>
    <t>150 kg N per ha</t>
  </si>
  <si>
    <t>190 kg N per ha</t>
  </si>
  <si>
    <t>0.01  Kpa</t>
  </si>
  <si>
    <t>Macro porse</t>
  </si>
  <si>
    <t>William E.</t>
  </si>
  <si>
    <t>Prairie du Sac, WI</t>
  </si>
  <si>
    <t>Forage</t>
  </si>
  <si>
    <t>No-cover, manured</t>
  </si>
  <si>
    <t>No-cover, N ferterlized</t>
  </si>
  <si>
    <t>Active C</t>
  </si>
  <si>
    <t>Water-stable macroaggregates</t>
  </si>
  <si>
    <t>Units: g/kg and many others</t>
  </si>
  <si>
    <t>SQI available</t>
  </si>
  <si>
    <t>Total microbial Biomass</t>
  </si>
  <si>
    <t>Diff</t>
  </si>
  <si>
    <t>Joyce</t>
  </si>
  <si>
    <t>B.A.</t>
  </si>
  <si>
    <t xml:space="preserve">American Society of Agricultural Engineers </t>
  </si>
  <si>
    <t>Agronomy Farm at the University of California</t>
  </si>
  <si>
    <t>Tomato-Safflower-Corn-Bean Rotation</t>
  </si>
  <si>
    <t>Low input</t>
  </si>
  <si>
    <t>Organic</t>
  </si>
  <si>
    <t>VMW</t>
  </si>
  <si>
    <t>Runoff of precipitation (%)</t>
  </si>
  <si>
    <t>Hydrolic conductivity</t>
  </si>
  <si>
    <t>Kabir</t>
  </si>
  <si>
    <t>Z.</t>
  </si>
  <si>
    <t xml:space="preserve">Agriculture, Ecosystems and Environment </t>
  </si>
  <si>
    <t>Silty loam</t>
  </si>
  <si>
    <t>Dandelion</t>
  </si>
  <si>
    <t>8 days</t>
  </si>
  <si>
    <t>25 days</t>
  </si>
  <si>
    <t>54 days</t>
  </si>
  <si>
    <t>% root affected by Mycorrhizal</t>
  </si>
  <si>
    <t>Shoot biomass:g per plant</t>
  </si>
  <si>
    <t>450 kg N per ha</t>
  </si>
  <si>
    <t>Kaspar</t>
  </si>
  <si>
    <t>T.C.</t>
  </si>
  <si>
    <t>Boone County, IA</t>
  </si>
  <si>
    <t>Corn, Soy bean Rotation</t>
  </si>
  <si>
    <t>Light tillage</t>
  </si>
  <si>
    <t>Gamagrass</t>
  </si>
  <si>
    <t>Plant N indicator available</t>
  </si>
  <si>
    <t>Inorganic N</t>
  </si>
  <si>
    <t>N concentration in runoff (mg N per L)</t>
  </si>
  <si>
    <t>Keene</t>
  </si>
  <si>
    <t>C.L.</t>
  </si>
  <si>
    <t>Crop Economics, Production and Management</t>
  </si>
  <si>
    <t>Reduced or no tillage</t>
  </si>
  <si>
    <t>4 wap</t>
  </si>
  <si>
    <t>5 wap</t>
  </si>
  <si>
    <t>6 wap</t>
  </si>
  <si>
    <t>4+5+6 wap</t>
  </si>
  <si>
    <t>Kladivko</t>
  </si>
  <si>
    <t>E.J.</t>
  </si>
  <si>
    <t>Journal of environmental quality</t>
  </si>
  <si>
    <t>SouthEastern Purdue Agricultural, Indiana</t>
  </si>
  <si>
    <t>285 kg N per ha</t>
  </si>
  <si>
    <t>177 kg N per ha</t>
  </si>
  <si>
    <t>Chisel</t>
  </si>
  <si>
    <t>5 m drain space</t>
  </si>
  <si>
    <t>10 m drain space</t>
  </si>
  <si>
    <t>20 m drain space</t>
  </si>
  <si>
    <t>Kong</t>
  </si>
  <si>
    <t xml:space="preserve">Angela Y.Y. </t>
  </si>
  <si>
    <t>Long-term Research on Agricultural Systems</t>
  </si>
  <si>
    <t>Mediterranean</t>
  </si>
  <si>
    <t>CRD</t>
  </si>
  <si>
    <t>170 kg N, 51 kg N-P-K per ha</t>
  </si>
  <si>
    <t>Conventional</t>
  </si>
  <si>
    <t>Root C release</t>
  </si>
  <si>
    <t>373 kg composed N per ha</t>
  </si>
  <si>
    <t>69 days</t>
  </si>
  <si>
    <t>100 days</t>
  </si>
  <si>
    <t>154 days</t>
  </si>
  <si>
    <t>Langdale</t>
  </si>
  <si>
    <t>G.W.</t>
  </si>
  <si>
    <t>Soil Technology</t>
  </si>
  <si>
    <t xml:space="preserve"> Watkinsville, Georgia</t>
  </si>
  <si>
    <t>No-tilling</t>
  </si>
  <si>
    <t>70 Kg N per ha</t>
  </si>
  <si>
    <t>115 Kg N per ha</t>
  </si>
  <si>
    <t>45 Kg N per ha</t>
  </si>
  <si>
    <t>Fert_Diff</t>
  </si>
  <si>
    <t>Yes</t>
  </si>
  <si>
    <t>Whether control and cover crop applied fifferent fertilizer level?</t>
  </si>
  <si>
    <t>Rainfed, sligh erosion level</t>
  </si>
  <si>
    <t>Rainfed, moderate erosion level</t>
  </si>
  <si>
    <t>Rainfed, severe erosion level</t>
  </si>
  <si>
    <t>Irrigated, sligh erosion level</t>
  </si>
  <si>
    <t>Irrigated, moderate erosion level</t>
  </si>
  <si>
    <t>Irrigated, severe erosion level</t>
  </si>
  <si>
    <t>Sligh erosion level</t>
  </si>
  <si>
    <t>Moderate erosion level</t>
  </si>
  <si>
    <t>Severe erosion level</t>
  </si>
  <si>
    <t>Total Kjeldahl Nitrogen</t>
  </si>
  <si>
    <t>Air dry soil pass sieve</t>
  </si>
  <si>
    <t>Runoff(%)</t>
  </si>
  <si>
    <t>Lehman</t>
  </si>
  <si>
    <t>R.Michael</t>
  </si>
  <si>
    <t>Brookings, South Dakota</t>
  </si>
  <si>
    <t>Sandy clay loam</t>
  </si>
  <si>
    <t>Units: 10-6/s (mS)</t>
  </si>
  <si>
    <t>November</t>
  </si>
  <si>
    <t>Oat</t>
  </si>
  <si>
    <t>Slit tillage</t>
  </si>
  <si>
    <t>Arbuscular mycorrrhizal fungi (AMF)</t>
  </si>
  <si>
    <t>Canola</t>
  </si>
  <si>
    <t>Liebig</t>
  </si>
  <si>
    <t>M.</t>
  </si>
  <si>
    <t>Akron, CO</t>
  </si>
  <si>
    <t>Millet</t>
  </si>
  <si>
    <t>Varied N</t>
  </si>
  <si>
    <t>Brookings, SD</t>
  </si>
  <si>
    <t>Chisel plow and disk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</si>
  <si>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</si>
  <si>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</si>
  <si>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</si>
  <si>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</si>
  <si>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</si>
  <si>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</si>
  <si>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</si>
  <si>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</si>
  <si>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</si>
  <si>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High N</t>
  </si>
  <si>
    <t>Bushland, TX</t>
  </si>
  <si>
    <t>WW-C-M</t>
  </si>
  <si>
    <t>C-SB-SW</t>
  </si>
  <si>
    <t>C-C</t>
  </si>
  <si>
    <t>WW-SO-F</t>
  </si>
  <si>
    <t>WW-WW</t>
  </si>
  <si>
    <t>Fargo, ND</t>
  </si>
  <si>
    <t>Silty clay</t>
  </si>
  <si>
    <t>DW-P</t>
  </si>
  <si>
    <t>Fall plow</t>
  </si>
  <si>
    <t>Mandan, ND</t>
  </si>
  <si>
    <t>Sunflower</t>
  </si>
  <si>
    <t>SW-F</t>
  </si>
  <si>
    <t>SW-WW-SU</t>
  </si>
  <si>
    <t>Medium</t>
  </si>
  <si>
    <t>Mead, NE</t>
  </si>
  <si>
    <t>C-SB-SO-OCL</t>
  </si>
  <si>
    <t>High</t>
  </si>
  <si>
    <t>Sidney, MT</t>
  </si>
  <si>
    <t>SW-SW</t>
  </si>
  <si>
    <t>Tandem disk</t>
  </si>
  <si>
    <t>Swift Current, SK</t>
  </si>
  <si>
    <t>Lentil</t>
  </si>
  <si>
    <t>SW-L</t>
  </si>
  <si>
    <t>Chisel plow and harrow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</si>
  <si>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</si>
  <si>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</si>
  <si>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</si>
  <si>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WW-F</t>
  </si>
  <si>
    <t>qCO2,mg CO2 per mg MBC</t>
  </si>
  <si>
    <t>kg per ha</t>
  </si>
  <si>
    <t>Marriott</t>
  </si>
  <si>
    <t xml:space="preserve">Emily E. </t>
  </si>
  <si>
    <t>Composed mannure 4480 kg per ha</t>
  </si>
  <si>
    <t>170 Kg N per ha</t>
  </si>
  <si>
    <t>Chisel plow</t>
  </si>
  <si>
    <t>C-CC-C-AR-SB-W-RC</t>
  </si>
  <si>
    <t>CC-SB-W</t>
  </si>
  <si>
    <t>Legume</t>
  </si>
  <si>
    <t>Control vs M</t>
  </si>
  <si>
    <t>Control vs L</t>
  </si>
  <si>
    <t>Paper's ID number</t>
  </si>
  <si>
    <t>Mbuthia</t>
  </si>
  <si>
    <t>Lilian Wanjiru</t>
  </si>
  <si>
    <t>Everage of 31 years data</t>
  </si>
  <si>
    <t>Cotton</t>
  </si>
  <si>
    <t>Total bacterial</t>
  </si>
  <si>
    <t>Tillage</t>
  </si>
  <si>
    <t>1 ha = 100*100*0.075*1.4Mg</t>
  </si>
  <si>
    <t>No40</t>
  </si>
  <si>
    <t>MG</t>
  </si>
  <si>
    <t>kg</t>
  </si>
  <si>
    <t>McCracken</t>
  </si>
  <si>
    <t xml:space="preserve">Daniel V.  </t>
  </si>
  <si>
    <t xml:space="preserve">West Tennessee Research and Education Center </t>
  </si>
  <si>
    <t>Kentucky Agricultural Experiment  Station  Farm near Lexington</t>
  </si>
  <si>
    <t>NH4-N discharge (%)</t>
  </si>
  <si>
    <t>June</t>
  </si>
  <si>
    <t>Augest</t>
  </si>
  <si>
    <t>October</t>
  </si>
  <si>
    <t>December</t>
  </si>
  <si>
    <t xml:space="preserve">April </t>
  </si>
  <si>
    <t>Suptember</t>
  </si>
  <si>
    <t>January</t>
  </si>
  <si>
    <t>February</t>
  </si>
  <si>
    <t>McVay</t>
  </si>
  <si>
    <t xml:space="preserve">K. A. </t>
  </si>
  <si>
    <t>Clay Loam</t>
  </si>
  <si>
    <t>Valley  location, Georgia</t>
  </si>
  <si>
    <t>Coastal  Plain, Altamaha, upper Coastal  Plain of Georgia</t>
  </si>
  <si>
    <t>&gt;250 mum (%)</t>
  </si>
  <si>
    <t>Units: mm/h</t>
  </si>
  <si>
    <t>SQI, Ca, Mg, MBN and MBC/N indicators available</t>
  </si>
  <si>
    <t>Ca,Mg,Al,Mn available</t>
  </si>
  <si>
    <t>Varied</t>
  </si>
  <si>
    <t>CCTermination</t>
  </si>
  <si>
    <t>Way of kinnling cover crop</t>
  </si>
  <si>
    <t>Mendes</t>
  </si>
  <si>
    <t xml:space="preserve">I. C. </t>
  </si>
  <si>
    <t>Sweet corn and broccoli</t>
  </si>
  <si>
    <t>Cereal</t>
  </si>
  <si>
    <t>TC</t>
  </si>
  <si>
    <t>Kjeldahl N (TKN)</t>
  </si>
  <si>
    <t>SMBC</t>
  </si>
  <si>
    <t>mu g n gdw soil per week?</t>
  </si>
  <si>
    <t>mg NO3-N / kg soil</t>
  </si>
  <si>
    <t>beta-Glucoside activity</t>
  </si>
  <si>
    <t>Fluorescein diacetate hydrolysis (FDA),distribution of TOC,TNC,and emzyme activity indicator available</t>
  </si>
  <si>
    <t>Ndiaye</t>
  </si>
  <si>
    <t xml:space="preserve">E.L. </t>
  </si>
  <si>
    <t>American Journal of Alternative Agriculture</t>
  </si>
  <si>
    <t>Silverton(OF), Oregon</t>
  </si>
  <si>
    <t>Salem(OF), Oregon</t>
  </si>
  <si>
    <t>Gervais(OF), Oregon</t>
  </si>
  <si>
    <t>Molalla(OF), Oregon-122.577</t>
  </si>
  <si>
    <t>NWREC(R), Oregon</t>
  </si>
  <si>
    <t>Southern Willamette Valley, VF(R), Oregon</t>
  </si>
  <si>
    <t>Cauliflower</t>
  </si>
  <si>
    <t>Broccoli</t>
  </si>
  <si>
    <t>Mixed</t>
  </si>
  <si>
    <t>Corn-Cauliflower</t>
  </si>
  <si>
    <t>Corn-corn</t>
  </si>
  <si>
    <t>Corn-grass</t>
  </si>
  <si>
    <t>Broccoli-Corn</t>
  </si>
  <si>
    <t>Corn-Bean</t>
  </si>
  <si>
    <t>Ca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</si>
  <si>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</si>
  <si>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</si>
  <si>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</si>
  <si>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</si>
  <si>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</si>
  <si>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</si>
  <si>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</si>
  <si>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</si>
  <si>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</si>
  <si>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</si>
  <si>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</si>
  <si>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</si>
  <si>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</si>
  <si>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Canopy closure</t>
  </si>
  <si>
    <t>Spring</t>
  </si>
  <si>
    <t>Harvest</t>
  </si>
  <si>
    <t>mu g g-1 soil</t>
  </si>
  <si>
    <t>Cotton stip decomposition indicator available</t>
  </si>
  <si>
    <t>Nielsen</t>
  </si>
  <si>
    <t>David C.</t>
  </si>
  <si>
    <t>Sweep tillage</t>
  </si>
  <si>
    <t>1.1 Kg N-P per ha</t>
  </si>
  <si>
    <t>mm</t>
  </si>
  <si>
    <t>J.K.</t>
  </si>
  <si>
    <t>ODea</t>
  </si>
  <si>
    <t>Big Sandy site, north-central Montan</t>
  </si>
  <si>
    <t>Box elder site, north-central Montan</t>
  </si>
  <si>
    <t>Joplin, north-central Montan</t>
  </si>
  <si>
    <t>Sunburst site, north-central Montan</t>
  </si>
  <si>
    <t>Oilmont site, north-central Montan</t>
  </si>
  <si>
    <t>Clay loam</t>
  </si>
  <si>
    <t>Herbicide, June_18</t>
  </si>
  <si>
    <t>Herbicide, June_23</t>
  </si>
  <si>
    <t>Herbicide, June_26</t>
  </si>
  <si>
    <t>Herbicide, June_27</t>
  </si>
  <si>
    <t>Herbicide, July_9</t>
  </si>
  <si>
    <t>At GLM termination</t>
  </si>
  <si>
    <t>At wheat seeding</t>
  </si>
  <si>
    <t>NO3-N+NH4-N, kg/ha</t>
  </si>
  <si>
    <t>NO3-N, kg/ha</t>
  </si>
  <si>
    <t>1/(Available Nitrogen Use Efficiency)</t>
  </si>
  <si>
    <t>Residue C, N returned available</t>
  </si>
  <si>
    <t>Osborne</t>
  </si>
  <si>
    <t xml:space="preserve">Shannon L. </t>
  </si>
  <si>
    <t>Bioenerg. Res.</t>
  </si>
  <si>
    <t>Corn-soybean</t>
  </si>
  <si>
    <t>Low residue romoval</t>
  </si>
  <si>
    <t>Medium residue romoval</t>
  </si>
  <si>
    <t>High residue romoval</t>
  </si>
  <si>
    <t>Quinn</t>
  </si>
  <si>
    <t>N.F.</t>
  </si>
  <si>
    <t>Environmental Entomology</t>
  </si>
  <si>
    <t>Harbor, MI</t>
  </si>
  <si>
    <t xml:space="preserve"> 86.25 N-P-K- kg per ha</t>
  </si>
  <si>
    <t>Herbicide, Glyphosate, clomazone etc</t>
  </si>
  <si>
    <t>Strip-tilled</t>
  </si>
  <si>
    <t>full-tilled</t>
  </si>
  <si>
    <t>a</t>
  </si>
  <si>
    <t>b</t>
  </si>
  <si>
    <t>c</t>
  </si>
  <si>
    <t>d</t>
  </si>
  <si>
    <t>e</t>
  </si>
  <si>
    <t>f</t>
  </si>
  <si>
    <t>g</t>
  </si>
  <si>
    <t>h</t>
  </si>
  <si>
    <t>Number of arthropods (density activity)</t>
  </si>
  <si>
    <t>No. 46</t>
  </si>
  <si>
    <t>mm to VMW</t>
  </si>
  <si>
    <t>Notes2</t>
  </si>
  <si>
    <t>Microbe activity/Enzyme/nematode/earthwarm</t>
  </si>
  <si>
    <t>Termination</t>
  </si>
  <si>
    <t>Beetles as diseases</t>
  </si>
  <si>
    <t>Multiple rotation, tillage and fertilization</t>
  </si>
  <si>
    <t>Root infected by rot</t>
  </si>
  <si>
    <t>Disk vs crimping</t>
  </si>
  <si>
    <t>Runoff to erosion, hydrolic conductivity to Ks</t>
  </si>
  <si>
    <t>Other notes, comments 2</t>
  </si>
  <si>
    <t>Earthwarm, 4.75-2 mm water stable aggregates, percentage of soil remaining in sieves, other 5 indicator available</t>
  </si>
  <si>
    <t>Geometric mean Diameter of dry aggregates, water-stable, available</t>
  </si>
  <si>
    <t>Weed density, averaged from 5</t>
  </si>
  <si>
    <t>Diseases treatment (mean value)/Beetles/pest</t>
  </si>
  <si>
    <t>Diseases of control (mean value)/Beetles/pest</t>
  </si>
  <si>
    <t>pests</t>
  </si>
  <si>
    <t>Active C to Cmin, root health to microAnimal, units for Nmin need check</t>
  </si>
  <si>
    <t>Units: kg per ha and many others</t>
  </si>
  <si>
    <t>Root C release to CO2BTest</t>
  </si>
  <si>
    <t>Runoff (%)</t>
  </si>
  <si>
    <t>AMF as total microAnimal indicator</t>
  </si>
  <si>
    <t>MBN and MBC/SOC available, qCO2 as CO2 burst test indicator</t>
  </si>
  <si>
    <t>CF,OPOM,FPOM,CHF methods for Nmin, Cmin</t>
  </si>
  <si>
    <t>NH4-N discharg as erosion indicator</t>
  </si>
  <si>
    <t>mm for AWHC</t>
  </si>
  <si>
    <t xml:space="preserve">Authopods number to MicroAnimal </t>
  </si>
  <si>
    <t>Raper</t>
  </si>
  <si>
    <t>R.L.</t>
  </si>
  <si>
    <t>Applied Engineering in Agriculture</t>
  </si>
  <si>
    <t>Spring shallow</t>
  </si>
  <si>
    <t>Spring deep</t>
  </si>
  <si>
    <t>Autumn shallow</t>
  </si>
  <si>
    <t>Autumn deep</t>
  </si>
  <si>
    <t>Cone index for root penetration</t>
  </si>
  <si>
    <t>Rasse</t>
  </si>
  <si>
    <t>Daniel P.</t>
  </si>
  <si>
    <t>Environmental Quality</t>
  </si>
  <si>
    <t>Tennessee Valley Substation in Belle Mina, Alabama</t>
  </si>
  <si>
    <t>101 Kg N per ha</t>
  </si>
  <si>
    <t>202 Kg N per ha</t>
  </si>
  <si>
    <t>Ap</t>
  </si>
  <si>
    <t>Ap, Bt, C1 and C2</t>
  </si>
  <si>
    <t>Inorganic N, NH4-N</t>
  </si>
  <si>
    <t>Bt</t>
  </si>
  <si>
    <t>C1</t>
  </si>
  <si>
    <t>C2</t>
  </si>
  <si>
    <t>Total NO3-N leaching (kg per ha)</t>
  </si>
  <si>
    <t>Rivers</t>
  </si>
  <si>
    <t xml:space="preserve">Ariel </t>
  </si>
  <si>
    <t>Carabidae community species richness</t>
  </si>
  <si>
    <t>Ritter</t>
  </si>
  <si>
    <t xml:space="preserve">W.F. </t>
  </si>
  <si>
    <t>Journal of Contaminant Hydrology</t>
  </si>
  <si>
    <t>Poultry manure</t>
  </si>
  <si>
    <t>Composted poultry manure</t>
  </si>
  <si>
    <t>Commercial fertilizer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</si>
  <si>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</si>
  <si>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</si>
  <si>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</si>
  <si>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</si>
  <si>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</si>
  <si>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</si>
  <si>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</si>
  <si>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Mass of N leached on lage plots (kg per ha)</t>
  </si>
  <si>
    <t>N concentration in drainage as prevent_erosion due to multiple erosion indicator available</t>
  </si>
  <si>
    <t>Sainju</t>
  </si>
  <si>
    <t>Upendra M.</t>
  </si>
  <si>
    <t>Europ. J. Agronomy</t>
  </si>
  <si>
    <t>Agricultural Research Station Farm, Georgia</t>
  </si>
  <si>
    <t>Strip tillage</t>
  </si>
  <si>
    <t>Chisel tillage</t>
  </si>
  <si>
    <t>60 Kg N per ha</t>
  </si>
  <si>
    <t>120 Kg N per ha</t>
  </si>
  <si>
    <t>65 Kg N per ha</t>
  </si>
  <si>
    <t>130 Kg N per ha</t>
  </si>
  <si>
    <t>Cotton-Sorghum</t>
  </si>
  <si>
    <t>Fallow and winter weeds</t>
  </si>
  <si>
    <t>Apr</t>
  </si>
  <si>
    <t>Nov</t>
  </si>
  <si>
    <t>Schipanski</t>
  </si>
  <si>
    <t>Meagan E.</t>
  </si>
  <si>
    <t>Agricultural Systems</t>
  </si>
  <si>
    <t>Soybean-wheat-corn</t>
  </si>
  <si>
    <t>Simulated 30-year period</t>
  </si>
  <si>
    <t>Ecosystem services, Simulated 30-year period</t>
  </si>
  <si>
    <t>Schutter</t>
  </si>
  <si>
    <t xml:space="preserve">M.E. </t>
  </si>
  <si>
    <t>NWREC</t>
  </si>
  <si>
    <t>Triticale</t>
  </si>
  <si>
    <t>Salem</t>
  </si>
  <si>
    <t>Silverton</t>
  </si>
  <si>
    <t>Biol Fertil Soils</t>
  </si>
  <si>
    <t>VRS, Vegetable Research Station, Corvallis,  Oregon</t>
  </si>
  <si>
    <t>Clay</t>
  </si>
  <si>
    <t>Sweetcorn</t>
  </si>
  <si>
    <t>Broccoli-Sweetcorn-Green bean</t>
  </si>
  <si>
    <t>Oat-common vetch-Green bean-Green bean</t>
  </si>
  <si>
    <t>Sweet corn and CC</t>
  </si>
  <si>
    <t>Cauliflower-Sweetcorn</t>
  </si>
  <si>
    <t>Nematodes biomass (mu g per g soil)</t>
  </si>
  <si>
    <t>Bacterial, fungal biomass available</t>
  </si>
  <si>
    <t>Greenbean</t>
  </si>
  <si>
    <t>Microbial fatty acid methyl esters (FAMEs)</t>
  </si>
  <si>
    <t>MicroOrganism_T</t>
  </si>
  <si>
    <t>MicroOrganism_Comments</t>
  </si>
  <si>
    <t>MicroOrganism_C</t>
  </si>
  <si>
    <t>Auguest</t>
  </si>
  <si>
    <t>mg C per kg soil per 10 day</t>
  </si>
  <si>
    <t>Incubation in tube for 10 days at 25 C</t>
  </si>
  <si>
    <t>BiomassCashCrop_C</t>
  </si>
  <si>
    <t>BiomassCashCrop_T</t>
  </si>
  <si>
    <t>Yield_C</t>
  </si>
  <si>
    <t>Yield_T</t>
  </si>
  <si>
    <t>Yield_Comments</t>
  </si>
  <si>
    <t>BD_Comments</t>
  </si>
  <si>
    <t>From CN ratio, t per ha of 15 cm soil</t>
  </si>
  <si>
    <t>K_Comments</t>
  </si>
  <si>
    <t>pH_Comments</t>
  </si>
  <si>
    <t>Units (%), &lt; 0.84 mm aggregates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</si>
  <si>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</si>
  <si>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</si>
  <si>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</si>
  <si>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</si>
  <si>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</si>
  <si>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</si>
  <si>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</si>
  <si>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</si>
  <si>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</si>
  <si>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</si>
  <si>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</si>
  <si>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</si>
  <si>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</si>
  <si>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</si>
  <si>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</si>
  <si>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</si>
  <si>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</si>
  <si>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</si>
  <si>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</si>
  <si>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</si>
  <si>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</si>
  <si>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</si>
  <si>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</si>
  <si>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</si>
  <si>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</si>
  <si>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</si>
  <si>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</si>
  <si>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</si>
  <si>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</si>
  <si>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</si>
  <si>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</si>
  <si>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</si>
  <si>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</si>
  <si>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</si>
  <si>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</si>
  <si>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</si>
  <si>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</si>
  <si>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</si>
  <si>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</si>
  <si>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BiomassCash_Comments</t>
  </si>
  <si>
    <t>BiomassCashCrop_Comments</t>
  </si>
  <si>
    <t>Shoot dry weight (g)</t>
  </si>
  <si>
    <t>Scott</t>
  </si>
  <si>
    <t>H.D.</t>
  </si>
  <si>
    <t>Delta branch experiment station clarkedale</t>
  </si>
  <si>
    <t>Dubba-Dundee soil</t>
  </si>
  <si>
    <t>Lupine</t>
  </si>
  <si>
    <t>Arkansas agriculture experiment station bulletin</t>
  </si>
  <si>
    <t>448 (13-13-13)+112 NH4NO3 Kg per ha</t>
  </si>
  <si>
    <t>112 (13-13-13) Kg per ha</t>
  </si>
  <si>
    <t>336 (13-13-13) Kg per ha</t>
  </si>
  <si>
    <t>280 NH4NO3 Kg per ha</t>
  </si>
  <si>
    <t>280 (13-13-13)+112 NH4NO3 Kg per ha</t>
  </si>
  <si>
    <t>308 (13-13-13) Kg per ha</t>
  </si>
  <si>
    <t>140 NH4NO3+4 urea Kg per ha</t>
  </si>
  <si>
    <t>336 (13-13-13)+112 NH4NO3 Kg per ha</t>
  </si>
  <si>
    <t>190 (0-0-60)+112 NH4NO3 Kg per ha</t>
  </si>
  <si>
    <t>Soil properties indicator were 16 years average (set as 8)</t>
  </si>
  <si>
    <t>SWC(33)-SWC(1500)</t>
  </si>
  <si>
    <t>SWC(30)-SWC(1500)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</si>
  <si>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</si>
  <si>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</si>
  <si>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</si>
  <si>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</si>
  <si>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</si>
  <si>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</si>
  <si>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Active C as Cmin, MBC to small, units convert?, We determined penetration resistance using a constant rate recording cone penetrometer with a cone base of 129 mm2 and a penetration rate of 8 mm s–1 (Lowery, 1986).</t>
  </si>
  <si>
    <t>Penetrometer resisteance (Fig 2)</t>
  </si>
  <si>
    <t>Cone index (Mpa), similar as studyID 29</t>
  </si>
  <si>
    <t>Capillary porosity as root penetration indicator</t>
  </si>
  <si>
    <t>Micro and macro porse, Macro porse as penetration indicator</t>
  </si>
  <si>
    <t>Staver</t>
  </si>
  <si>
    <t>K.W.</t>
  </si>
  <si>
    <t>Journal of  Soil  and Water  Conservation</t>
  </si>
  <si>
    <t>Winter CC</t>
  </si>
  <si>
    <t>TimeCC</t>
  </si>
  <si>
    <t>Time_CC</t>
  </si>
  <si>
    <t>OCT-10, Winter CC</t>
  </si>
  <si>
    <t>Time_Comments</t>
  </si>
  <si>
    <t>Comments about sampling time and others</t>
  </si>
  <si>
    <t>OCT-22, Winter CC</t>
  </si>
  <si>
    <t>Time of cover crop planted, winter or summer CC</t>
  </si>
  <si>
    <t>OCT-28, Winter CC</t>
  </si>
  <si>
    <t>OCT-6, Winter CC</t>
  </si>
  <si>
    <t>Sep-22, Winter CC</t>
  </si>
  <si>
    <t>Sep-28, Winter CC</t>
  </si>
  <si>
    <t>OCT-8, Winter CC</t>
  </si>
  <si>
    <t>OCT-7, Winter CC</t>
  </si>
  <si>
    <t>OCT-13, Winter CC</t>
  </si>
  <si>
    <t>OCT-1, Winter CC</t>
  </si>
  <si>
    <t>OCT-2, Winter CC</t>
  </si>
  <si>
    <t>OCT-27, Winter CC</t>
  </si>
  <si>
    <t>OCT</t>
  </si>
  <si>
    <t>DEC</t>
  </si>
  <si>
    <t>Jan</t>
  </si>
  <si>
    <t>Jun</t>
  </si>
  <si>
    <t>Sep</t>
  </si>
  <si>
    <t>Oct</t>
  </si>
  <si>
    <t>Aug</t>
  </si>
  <si>
    <t>Soil-nitrate-N</t>
  </si>
  <si>
    <t>Queen Annes County, Maryland</t>
  </si>
  <si>
    <t>Stover (kg per ha)</t>
  </si>
  <si>
    <t>156 kg N per ha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</si>
  <si>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</si>
  <si>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</si>
  <si>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</si>
  <si>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</si>
  <si>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Leachate Nitrate-N (mg per l)</t>
  </si>
  <si>
    <t>Pre-plant</t>
  </si>
  <si>
    <t>Post-plant</t>
  </si>
  <si>
    <t>Steele</t>
  </si>
  <si>
    <t>M.K.</t>
  </si>
  <si>
    <t>Coastal  Plain, Maryland (Site 2)</t>
  </si>
  <si>
    <t>Piedmont, Maryland (Site 3)</t>
  </si>
  <si>
    <t>According to University of Maryland extension recommendation</t>
  </si>
  <si>
    <t>OCT-8</t>
  </si>
  <si>
    <t>NOV-7</t>
  </si>
  <si>
    <t>Season</t>
  </si>
  <si>
    <t>Off-season</t>
  </si>
  <si>
    <t>Water stable aggregates (WSA) &lt; 2 but &gt; 0.5</t>
  </si>
  <si>
    <t>Water stable aggregates (WSA) &gt; 2 ( g per g to %)</t>
  </si>
  <si>
    <t>Mg/ha</t>
  </si>
  <si>
    <t>Units for OC need double check</t>
  </si>
  <si>
    <t>TOC, Mg per ha = 0.073 %</t>
  </si>
  <si>
    <t>Labile C</t>
  </si>
  <si>
    <t>Site1, mm/s = mm/h*3600</t>
  </si>
  <si>
    <t>Site2, mm/s = mm/h*3600</t>
  </si>
  <si>
    <t>Site3, mm/s = mm/h*3600</t>
  </si>
  <si>
    <t>Ks, Hydrulic conductivity</t>
  </si>
  <si>
    <t>mm / s</t>
  </si>
  <si>
    <t>mm/s=360cm/h</t>
  </si>
  <si>
    <t>Air permeability (mu m2)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</si>
  <si>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</si>
  <si>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</si>
  <si>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</si>
  <si>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</si>
  <si>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</si>
  <si>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</si>
  <si>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Stipesevic</t>
  </si>
  <si>
    <t>Bojan</t>
  </si>
  <si>
    <t>Purdue University PhD dissertation</t>
  </si>
  <si>
    <t>Southeast Purdue Agricultural Center (SEPAC)</t>
  </si>
  <si>
    <t xml:space="preserve">Throckmorton Purdue Agricultural Center (TPAC) </t>
  </si>
  <si>
    <t>Early desccation</t>
  </si>
  <si>
    <t>Regular desiccation</t>
  </si>
  <si>
    <t>Before corn plant</t>
  </si>
  <si>
    <t>After corn plant</t>
  </si>
  <si>
    <t>% vol/vol (total)</t>
  </si>
  <si>
    <t>Air fill porosity</t>
  </si>
  <si>
    <t>Mean weight diameter (mm)</t>
  </si>
  <si>
    <t>cm/h to mm per h</t>
  </si>
  <si>
    <t>cm/h</t>
  </si>
  <si>
    <t>5-31 VMW to GMW</t>
  </si>
  <si>
    <t>6-5 VWM to GMW</t>
  </si>
  <si>
    <t>4-26 VMW</t>
  </si>
  <si>
    <t>5-15 VMW</t>
  </si>
  <si>
    <t>6-20 VMW</t>
  </si>
  <si>
    <t>5-10 VMW</t>
  </si>
  <si>
    <t>5-14 VMW</t>
  </si>
  <si>
    <t>5-24 VMW</t>
  </si>
  <si>
    <t>Other indicators in fig</t>
  </si>
  <si>
    <t>Soybean-corn</t>
  </si>
  <si>
    <t>Vane shear strength measurement of soil compaction (Mpa)</t>
  </si>
  <si>
    <t>Strock</t>
  </si>
  <si>
    <t>J.S.</t>
  </si>
  <si>
    <t>Journal of Environmental Quality</t>
  </si>
  <si>
    <t>Southwest research and outreach center</t>
  </si>
  <si>
    <t>Urea, P and K</t>
  </si>
  <si>
    <t>Disk cultivation</t>
  </si>
  <si>
    <t>Rye plant at Oct-1</t>
  </si>
  <si>
    <t>Teasdale</t>
  </si>
  <si>
    <t xml:space="preserve">J.R.  </t>
  </si>
  <si>
    <t>Beltsville, MD</t>
  </si>
  <si>
    <t>Rye plant at Suptember</t>
  </si>
  <si>
    <t>Vtech plant at Suptember</t>
  </si>
  <si>
    <t>Bare soil</t>
  </si>
  <si>
    <t>DOY 220</t>
  </si>
  <si>
    <t>DOY 224</t>
  </si>
  <si>
    <t>DOY 228</t>
  </si>
  <si>
    <t>DOY 232</t>
  </si>
  <si>
    <t>DOY 236</t>
  </si>
  <si>
    <t>DOY 240</t>
  </si>
  <si>
    <t>DOY 244</t>
  </si>
  <si>
    <t>DOY 248</t>
  </si>
  <si>
    <t>DOY 252</t>
  </si>
  <si>
    <t>DOY 256</t>
  </si>
  <si>
    <t>DOY 260</t>
  </si>
  <si>
    <t>Transmittance, hotosynthetically active radiation at indicators available</t>
  </si>
  <si>
    <t>Terra</t>
  </si>
  <si>
    <t>J.A.</t>
  </si>
  <si>
    <t>Ithaca, NY</t>
  </si>
  <si>
    <t>Agricultural Experiment Station, Alabama</t>
  </si>
  <si>
    <t>No manure</t>
  </si>
  <si>
    <t>Conservation</t>
  </si>
  <si>
    <t>With manure</t>
  </si>
  <si>
    <t>CNOfCoverCrop</t>
  </si>
  <si>
    <t>Corn-cotton</t>
  </si>
  <si>
    <t>Dairy manure</t>
  </si>
  <si>
    <t>Coton</t>
  </si>
  <si>
    <t>Total microbial Biomass, measurement of phospholipid fatty acids</t>
  </si>
  <si>
    <t>Using Cover Crops In Oregon</t>
  </si>
  <si>
    <t xml:space="preserve">Richard </t>
  </si>
  <si>
    <t>Dick</t>
  </si>
  <si>
    <t>North Willamette Research and Extension Center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</si>
  <si>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</si>
  <si>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</si>
  <si>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</si>
  <si>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</si>
  <si>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</si>
  <si>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</si>
  <si>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NOV</t>
  </si>
  <si>
    <t>Feb</t>
  </si>
  <si>
    <t>Mar</t>
  </si>
  <si>
    <t>Dec</t>
  </si>
  <si>
    <t>Veum</t>
  </si>
  <si>
    <t xml:space="preserve">K.S. </t>
  </si>
  <si>
    <t>Salt River Basin Central Claypan Region,Missouri</t>
  </si>
  <si>
    <t>Corn–soybean</t>
  </si>
  <si>
    <t>Corn–soybean–wheat</t>
  </si>
  <si>
    <t xml:space="preserve">Water stable aggregates (%) </t>
  </si>
  <si>
    <t>OC</t>
  </si>
  <si>
    <t>β-glucosidase (mg PNP kg–1 h–1)</t>
  </si>
  <si>
    <t>mg/kg</t>
  </si>
  <si>
    <t>dS m–1</t>
  </si>
  <si>
    <t>Units: dS m–1</t>
  </si>
  <si>
    <t xml:space="preserve">Extractable P (mg kg–1) </t>
  </si>
  <si>
    <t xml:space="preserve">Extractable K (mg kg–1) </t>
  </si>
  <si>
    <t>Ca,Mg,Cu,Fe,Mg,Zn,SQI or SMAF available</t>
  </si>
  <si>
    <t>NTCS-17 vs NTCSW14</t>
  </si>
  <si>
    <t>NTCS-4 vs NTCSWM5</t>
  </si>
  <si>
    <t>Mulch tillage</t>
  </si>
  <si>
    <t>Beef livestock manure of 11 Mg N per ha</t>
  </si>
  <si>
    <t>Villamil</t>
  </si>
  <si>
    <t>M.B.</t>
  </si>
  <si>
    <t>Urbana, IL, USA</t>
  </si>
  <si>
    <t>135 kg N per ha</t>
  </si>
  <si>
    <t>Period 1 Corn</t>
  </si>
  <si>
    <t>SOM</t>
  </si>
  <si>
    <t>Kg/Mg</t>
  </si>
  <si>
    <t>Period 2 Soybean</t>
  </si>
  <si>
    <t>NO3-N</t>
  </si>
  <si>
    <t>Increase PR (MPa) means closer contact between particles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</si>
  <si>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</si>
  <si>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</si>
  <si>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</si>
  <si>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</si>
  <si>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</si>
  <si>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</si>
  <si>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</si>
  <si>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Total porosity</t>
  </si>
  <si>
    <t>Plant available water (PAW, %)</t>
  </si>
  <si>
    <t>Jokela</t>
  </si>
  <si>
    <t>William</t>
  </si>
  <si>
    <t>1990 to 2008</t>
  </si>
  <si>
    <t xml:space="preserve"> Wisconsin Integrated Cropping Systems Trial</t>
  </si>
  <si>
    <t>CS3-C vs CS1-C</t>
  </si>
  <si>
    <t>CS4-C vs CS1-C</t>
  </si>
  <si>
    <t>CS4-A vs CS1-C</t>
  </si>
  <si>
    <t>CS5-C vs CS1-C</t>
  </si>
  <si>
    <t>CS5-A vs CS1-C</t>
  </si>
  <si>
    <t>CS6-P vs CS1-C</t>
  </si>
  <si>
    <t>Chisel and none</t>
  </si>
  <si>
    <t>145-5-20 kg N per ha</t>
  </si>
  <si>
    <t>146 kg N per ha</t>
  </si>
  <si>
    <t>241-23-160 kg N per ha</t>
  </si>
  <si>
    <t>240-24-160 kg N per ha</t>
  </si>
  <si>
    <t>182-17-120 kg N per ha</t>
  </si>
  <si>
    <t>176-16-117 kg N per ha</t>
  </si>
  <si>
    <t>52-5-31 kg N per ha</t>
  </si>
  <si>
    <t>n mol / kg</t>
  </si>
  <si>
    <t xml:space="preserve">nmol per kg to mgkg-1 </t>
  </si>
  <si>
    <t>CS3-C vs CS2-C</t>
  </si>
  <si>
    <t>CS4-C vs CS2-C</t>
  </si>
  <si>
    <t>CS4-A vs CS2-C</t>
  </si>
  <si>
    <t>CS5-C vs CS2-C</t>
  </si>
  <si>
    <t>CS5-A vs CS2-C</t>
  </si>
  <si>
    <t>CS6-P vs CS2-C</t>
  </si>
  <si>
    <t>136-4-19 kg N per ha</t>
  </si>
  <si>
    <t>no tillage</t>
  </si>
  <si>
    <t>nmol per kg to mgkg-1</t>
  </si>
  <si>
    <t>Water-stable aggregates (g/kg)</t>
  </si>
  <si>
    <t>Williams</t>
  </si>
  <si>
    <t>M.M.</t>
  </si>
  <si>
    <t>Agricultural Research Development Center, Ithaca</t>
  </si>
  <si>
    <t>Silty clay loam</t>
  </si>
  <si>
    <t>Barley</t>
  </si>
  <si>
    <t>Irrigated</t>
  </si>
  <si>
    <t>Rainfed</t>
  </si>
  <si>
    <t>Spray at June 6</t>
  </si>
  <si>
    <t>Spray at May 23</t>
  </si>
  <si>
    <t>Spray at May 13</t>
  </si>
  <si>
    <t>Canopy volume available</t>
  </si>
  <si>
    <t>Wyland</t>
  </si>
  <si>
    <t xml:space="preserve">L.J. </t>
  </si>
  <si>
    <t xml:space="preserve"> Agriculture,  Ecosystems and Environment </t>
  </si>
  <si>
    <t>Salinas Valley of California</t>
  </si>
  <si>
    <t>Phacelia</t>
  </si>
  <si>
    <t>5-17-1993</t>
  </si>
  <si>
    <t>6-1-1993</t>
  </si>
  <si>
    <t>6-24-1993</t>
  </si>
  <si>
    <t>7-13-1993</t>
  </si>
  <si>
    <t>7-27-1993</t>
  </si>
  <si>
    <t>No.70</t>
  </si>
  <si>
    <t>NO3-N (g/m2 to mg/kg)</t>
  </si>
  <si>
    <t>1m2=657kg</t>
  </si>
  <si>
    <t>Jul</t>
  </si>
  <si>
    <t>MBN available</t>
  </si>
  <si>
    <t>VMW to GMW</t>
  </si>
  <si>
    <t>Springtails(No. Per sample)</t>
  </si>
  <si>
    <t>Mites (No. per sample)</t>
  </si>
  <si>
    <t>Yoo</t>
  </si>
  <si>
    <t>K.H.</t>
  </si>
  <si>
    <t>Soil and Tillage Research</t>
  </si>
  <si>
    <t>101 kg N per ha</t>
  </si>
  <si>
    <t>Belle Mina,  Alabama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</si>
  <si>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</si>
  <si>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</si>
  <si>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</si>
  <si>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</si>
  <si>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</si>
  <si>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</si>
  <si>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</si>
  <si>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</si>
  <si>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</si>
  <si>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</si>
  <si>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</si>
  <si>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</si>
  <si>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</si>
  <si>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</si>
  <si>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sediment loss (kg per ha)</t>
  </si>
  <si>
    <t>% of rainoff</t>
  </si>
  <si>
    <t>Before June 21</t>
  </si>
  <si>
    <t>After June 21</t>
  </si>
  <si>
    <t>Zelles</t>
  </si>
  <si>
    <t>L.</t>
  </si>
  <si>
    <t>Potatoes</t>
  </si>
  <si>
    <t>No rotation</t>
  </si>
  <si>
    <t>Winter wheat-oats-potatoes-barley-red clover</t>
  </si>
  <si>
    <t>110-105-140 N/P/K</t>
  </si>
  <si>
    <t>130-130-185 N/P/K</t>
  </si>
  <si>
    <t>150-130-215 N/P/K</t>
  </si>
  <si>
    <t>Lipid phosphate (mu g g-1)</t>
  </si>
  <si>
    <t>beta-glucosidase</t>
  </si>
  <si>
    <t>Several  enzymatic indicators</t>
  </si>
  <si>
    <t>Summer CC</t>
  </si>
  <si>
    <t>Zentner</t>
  </si>
  <si>
    <t xml:space="preserve">R.P. </t>
  </si>
  <si>
    <t>Canadian Journal Of Plant Science</t>
  </si>
  <si>
    <t>Germany</t>
  </si>
  <si>
    <t>Summer fallow</t>
  </si>
  <si>
    <t>28 kg N per ha</t>
  </si>
  <si>
    <t>389 kg N per ha</t>
  </si>
  <si>
    <t>1987-1998</t>
  </si>
  <si>
    <t>F-(W)-W vs Leg-(W)-W</t>
  </si>
  <si>
    <t>Straw</t>
  </si>
  <si>
    <t>BiomassCash_C</t>
  </si>
  <si>
    <t>BiomassCash_T</t>
  </si>
  <si>
    <t>N yield and N concentration available</t>
  </si>
  <si>
    <t>Available spring soil water (AvSpSW) = SpSW minus lower limit of available water (mm/120 cm).</t>
  </si>
  <si>
    <t>spSW(mm/120 cm)</t>
  </si>
  <si>
    <t>F-W-(W) vs Leg-W-(W)</t>
  </si>
  <si>
    <t>No.17,D=1.2, BS=1.25</t>
  </si>
  <si>
    <t>No.73</t>
  </si>
  <si>
    <t>Zhou</t>
  </si>
  <si>
    <t>X.G.</t>
  </si>
  <si>
    <t>Plant Disease Management Reports</t>
  </si>
  <si>
    <t>Texas A&amp;M University System’s Agrilife Research and Extension Center, Beaumont, TX.</t>
  </si>
  <si>
    <t>Rice</t>
  </si>
  <si>
    <t>Brassica</t>
  </si>
  <si>
    <t>Sheath blight severity (0-9)</t>
  </si>
  <si>
    <t>Unsprayed control</t>
  </si>
  <si>
    <t>MBI-600 (108 cfu/ml)</t>
  </si>
  <si>
    <t>MBI-600 (108 cfu/ml) plus Quadris (4.5 fl oz/A)</t>
  </si>
  <si>
    <t>Quadris (9 fl oz/A)</t>
  </si>
  <si>
    <t>Quadris (4.5 fl oz/A)</t>
  </si>
  <si>
    <t>Swift  Current,  Saskatchewan, Canada</t>
  </si>
  <si>
    <t>Zhu</t>
  </si>
  <si>
    <t>J.C.</t>
  </si>
  <si>
    <t>Kingdom City, MO</t>
  </si>
  <si>
    <t>Estblishment period</t>
  </si>
  <si>
    <t>Maturing crop period</t>
  </si>
  <si>
    <t>Residue or stubble period</t>
  </si>
  <si>
    <t>Annual</t>
  </si>
  <si>
    <t>Seed bed</t>
  </si>
  <si>
    <t xml:space="preserve"> 6-10-20 N-P-K</t>
  </si>
  <si>
    <t>Run off (mm)</t>
  </si>
  <si>
    <t>Soil losses (kg/ha)</t>
  </si>
  <si>
    <t>Microelement</t>
  </si>
  <si>
    <t>Whether reported microelement (Mn, Zn etc.)</t>
  </si>
  <si>
    <t>MBC/K/MBN</t>
  </si>
  <si>
    <t>&gt; 19.2 mm aggregates</t>
  </si>
  <si>
    <t>Labile C, g per ha to 100 g per ha</t>
  </si>
  <si>
    <t>soybean</t>
  </si>
  <si>
    <t>ItalianRyegrass</t>
  </si>
  <si>
    <t>WinterRye</t>
  </si>
  <si>
    <t>Summer</t>
  </si>
  <si>
    <t>Maize-tomato</t>
  </si>
  <si>
    <t>Harrowed</t>
  </si>
  <si>
    <t>Cut with disk</t>
  </si>
  <si>
    <t>TC, kg per ha to 10 kg per ha</t>
  </si>
  <si>
    <t>MgFe</t>
  </si>
  <si>
    <t>CaMgAl</t>
  </si>
  <si>
    <t>CaMg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</si>
  <si>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</si>
  <si>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</si>
  <si>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</si>
  <si>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</si>
  <si>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</si>
  <si>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</si>
  <si>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</si>
  <si>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</si>
  <si>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</si>
  <si>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</si>
  <si>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</si>
  <si>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</si>
  <si>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</si>
  <si>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</si>
  <si>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</si>
  <si>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</si>
  <si>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</si>
  <si>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</si>
  <si>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</si>
  <si>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</si>
  <si>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</si>
  <si>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</si>
  <si>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</si>
  <si>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</si>
  <si>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</si>
  <si>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</si>
  <si>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</si>
  <si>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</si>
  <si>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</si>
  <si>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</si>
  <si>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</si>
  <si>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</si>
  <si>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</si>
  <si>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</si>
  <si>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</si>
  <si>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</si>
  <si>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</si>
  <si>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</si>
  <si>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</si>
  <si>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</si>
  <si>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</si>
  <si>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</si>
  <si>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</si>
  <si>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</si>
  <si>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</si>
  <si>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</si>
  <si>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</si>
  <si>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</si>
  <si>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</si>
  <si>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</si>
  <si>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</si>
  <si>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</si>
  <si>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</si>
  <si>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</si>
  <si>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</si>
  <si>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</si>
  <si>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</si>
  <si>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</si>
  <si>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</si>
  <si>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</si>
  <si>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</si>
  <si>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</si>
  <si>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</si>
  <si>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</si>
  <si>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</si>
  <si>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</si>
  <si>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</si>
  <si>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</si>
  <si>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</si>
  <si>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</si>
  <si>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</si>
  <si>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</si>
  <si>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</si>
  <si>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</si>
  <si>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</si>
  <si>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</si>
  <si>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</si>
  <si>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</si>
  <si>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</si>
  <si>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</si>
  <si>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</si>
  <si>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</si>
  <si>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</si>
  <si>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</si>
  <si>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</si>
  <si>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</si>
  <si>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</si>
  <si>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</si>
  <si>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</si>
  <si>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</si>
  <si>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</si>
  <si>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</si>
  <si>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</si>
  <si>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</si>
  <si>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</si>
  <si>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</si>
  <si>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</si>
  <si>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</si>
  <si>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</si>
  <si>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</si>
  <si>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</si>
  <si>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</si>
  <si>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</si>
  <si>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</si>
  <si>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</si>
  <si>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</si>
  <si>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</si>
  <si>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</si>
  <si>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</si>
  <si>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</si>
  <si>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</si>
  <si>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</si>
  <si>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</si>
  <si>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</si>
  <si>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</si>
  <si>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</si>
  <si>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</si>
  <si>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</si>
  <si>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</si>
  <si>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</si>
  <si>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</si>
  <si>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</si>
  <si>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</si>
  <si>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</si>
  <si>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</si>
  <si>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</si>
  <si>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</si>
  <si>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</si>
  <si>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</si>
  <si>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</si>
  <si>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</si>
  <si>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</si>
  <si>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</si>
  <si>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</si>
  <si>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</si>
  <si>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</si>
  <si>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</si>
  <si>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</si>
  <si>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</si>
  <si>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</si>
  <si>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</si>
  <si>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</si>
  <si>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</si>
  <si>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</si>
  <si>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</si>
  <si>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Pachic Ultic Argixeroll</t>
  </si>
  <si>
    <t>SoilFamily</t>
  </si>
  <si>
    <t>Haplustoll</t>
  </si>
  <si>
    <t>Udic Argiustoll</t>
  </si>
  <si>
    <t>Aridic  Haplustolls</t>
  </si>
  <si>
    <t>Wickham</t>
  </si>
  <si>
    <t>Udipsamment</t>
  </si>
  <si>
    <t>Kanhapludults</t>
  </si>
  <si>
    <t>Kegonsa</t>
  </si>
  <si>
    <t xml:space="preserve">Hapludults and Endoaquults </t>
  </si>
  <si>
    <t>Typic Paleudults</t>
  </si>
  <si>
    <t>Chernozem</t>
  </si>
  <si>
    <t>Hagerstown</t>
  </si>
  <si>
    <t>Aquic Argiudolls</t>
  </si>
  <si>
    <t>Typic Hapludalf</t>
  </si>
  <si>
    <t>Typic Hapludults</t>
  </si>
  <si>
    <t>Mesic Lamellic Hapludalf</t>
  </si>
  <si>
    <t>Kandiudult</t>
  </si>
  <si>
    <t>Kingsbury</t>
  </si>
  <si>
    <t>Typic Hapludult</t>
  </si>
  <si>
    <t>Mesic Glossic Hapludulfs</t>
  </si>
  <si>
    <t>Mesic vertic albaqualfs</t>
  </si>
  <si>
    <t>Mesic Typic Hapludalfs</t>
  </si>
  <si>
    <t>Mollic Xerofluvents</t>
  </si>
  <si>
    <t>Mesic Typic Endoaquolls</t>
  </si>
  <si>
    <t>Mesic Typic Hapludalf</t>
  </si>
  <si>
    <t>Thermic Typic Xerorthent</t>
  </si>
  <si>
    <t>Typic Kandhapludults</t>
  </si>
  <si>
    <t>Mesic Typic Glossaquaf</t>
  </si>
  <si>
    <t>Calcic Hapludoll</t>
  </si>
  <si>
    <t>Ultic Hapludalf</t>
  </si>
  <si>
    <t>Mesic Typic Paleudalf</t>
  </si>
  <si>
    <t>Pachic Ultic Argixerolls</t>
  </si>
  <si>
    <t>Mesic Aridic Argiustols</t>
  </si>
  <si>
    <t>Aridic Argiborolls</t>
  </si>
  <si>
    <t>Mesic Typic Udipsamments</t>
  </si>
  <si>
    <t>Thermic  Rhodic  Paleudult</t>
  </si>
  <si>
    <t>Mesic Typic Argiudolls</t>
  </si>
  <si>
    <t>Typic quartzipssaments</t>
  </si>
  <si>
    <t>Plinthic Paleudults</t>
  </si>
  <si>
    <t>Mesic Pachic Ultic Argixeroll</t>
  </si>
  <si>
    <t>Typic Hapludulfs</t>
  </si>
  <si>
    <t>Aquic Hapludults</t>
  </si>
  <si>
    <t>Agriudolls</t>
  </si>
  <si>
    <t>Typic Fragiochrepts</t>
  </si>
  <si>
    <t>Aquic Paleudults</t>
  </si>
  <si>
    <t>Mesic Vertic Albaqualfs</t>
  </si>
  <si>
    <t>Typic Argiudoll</t>
  </si>
  <si>
    <t>Thermic Typic Argixeroll</t>
  </si>
  <si>
    <t>Rhodic Paleudults</t>
  </si>
  <si>
    <t>Loess</t>
  </si>
  <si>
    <t>Orthic Brown Chernozem</t>
  </si>
  <si>
    <t>League-type soil</t>
  </si>
  <si>
    <t>Typic Hapludolls</t>
  </si>
  <si>
    <t>NxO_C</t>
  </si>
  <si>
    <t>NxO_T</t>
  </si>
  <si>
    <t>NxO_Comm</t>
  </si>
  <si>
    <t>CO2_C</t>
  </si>
  <si>
    <t>CO2_T</t>
  </si>
  <si>
    <t>CO2_Comm</t>
  </si>
  <si>
    <t>CH4_C</t>
  </si>
  <si>
    <t>CH4_T</t>
  </si>
  <si>
    <t>CH4_Comm</t>
  </si>
  <si>
    <t>ESS</t>
  </si>
  <si>
    <t>SQI</t>
  </si>
  <si>
    <t>Runoff, drainage, nitrogen leaching, leaching potention (mean value)</t>
  </si>
  <si>
    <t>Runoff, drainage, nitrogen leaching, leaching potention of treatment (mean value)</t>
  </si>
  <si>
    <t xml:space="preserve">Provent erosion/runoff, such as Available Nitrogen Use Efficiency, nitrogen uptake by cover crop of control </t>
  </si>
  <si>
    <t>Provent erosion/runoff, such as Available Nitrogen Use Efficiency, nitrogen uptake by cover crop of CC</t>
  </si>
  <si>
    <t>Soil water content of control (mean value), Field capacity, Permanent wilting point, Available water capacity</t>
  </si>
  <si>
    <t>Soil water content of treatment (mean value), Field capacity, Permanent wilting point, Available water capacity</t>
  </si>
  <si>
    <t>Greenhouse gas N2O of control</t>
  </si>
  <si>
    <t>Greenhouse gas N2O of treatment</t>
  </si>
  <si>
    <t>NxO_Comments</t>
  </si>
  <si>
    <t>Greenhouse gas N2O of comments</t>
  </si>
  <si>
    <t>Soil respiration of control</t>
  </si>
  <si>
    <t>Soil respiration of treatment</t>
  </si>
  <si>
    <t>CO2_Comments</t>
  </si>
  <si>
    <t>Comments on soil respiration</t>
  </si>
  <si>
    <t>CH4 emission of control</t>
  </si>
  <si>
    <t>CH4 emission of treatment</t>
  </si>
  <si>
    <t>CH4_Comments</t>
  </si>
  <si>
    <t>Comments on CH4 emission</t>
  </si>
  <si>
    <t>Soil quality indicator</t>
  </si>
  <si>
    <t>Ecosystem services</t>
  </si>
  <si>
    <t>Not-available</t>
  </si>
  <si>
    <t>Fallow-Wheat at spring-Wheat at spring</t>
  </si>
  <si>
    <t>0-to-20</t>
  </si>
  <si>
    <t>0-to-7.5</t>
  </si>
  <si>
    <t>7.5-to-15</t>
  </si>
  <si>
    <t>0-to-15</t>
  </si>
  <si>
    <t>20-to-40</t>
  </si>
  <si>
    <t>40-to-60</t>
  </si>
  <si>
    <t>60-to-80</t>
  </si>
  <si>
    <t>80-to-100</t>
  </si>
  <si>
    <t>0-to-1.5</t>
  </si>
  <si>
    <t>0-to-10</t>
  </si>
  <si>
    <t>0-to-30</t>
  </si>
  <si>
    <t>15-to-30</t>
  </si>
  <si>
    <t>0-to-18</t>
  </si>
  <si>
    <t>10-to-20</t>
  </si>
  <si>
    <t>20-to-30</t>
  </si>
  <si>
    <t>0-to-5</t>
  </si>
  <si>
    <t>0-to-45</t>
  </si>
  <si>
    <t>45-to-105</t>
  </si>
  <si>
    <t>105-to-195</t>
  </si>
  <si>
    <t>195-to-285</t>
  </si>
  <si>
    <t>0-to-120</t>
  </si>
  <si>
    <t>0-to-25</t>
  </si>
  <si>
    <t>5-to-10</t>
  </si>
  <si>
    <t>30-to-60</t>
  </si>
  <si>
    <t>60-to-90</t>
  </si>
  <si>
    <t>0-to-3</t>
  </si>
  <si>
    <t>25-to-50</t>
  </si>
  <si>
    <t>50-to-80</t>
  </si>
  <si>
    <t>80-to-125</t>
  </si>
  <si>
    <t>10-to-30</t>
  </si>
  <si>
    <t>10-to-15</t>
  </si>
  <si>
    <t>30-to-90</t>
  </si>
  <si>
    <t>0-to-150</t>
  </si>
  <si>
    <t>5-to-15</t>
  </si>
  <si>
    <t>0-to-122</t>
  </si>
  <si>
    <t>5-to-20</t>
  </si>
  <si>
    <t>90-to-120</t>
  </si>
  <si>
    <t>TopLayer</t>
  </si>
  <si>
    <t>0-to-60</t>
  </si>
  <si>
    <t>ID</t>
  </si>
  <si>
    <t>Description</t>
  </si>
  <si>
    <t>Sign</t>
  </si>
  <si>
    <t>Angers</t>
  </si>
  <si>
    <t>D.A.</t>
  </si>
  <si>
    <t>Agron. Sustain</t>
  </si>
  <si>
    <t xml:space="preserve">La PocatiEre, Quebec </t>
  </si>
  <si>
    <t>Orthic Humic Gleysol</t>
  </si>
  <si>
    <t>Barley-Red Clover</t>
  </si>
  <si>
    <t>Water soluble  carbohydrates</t>
  </si>
  <si>
    <t>Acid-hydrolyzable carbohydratis available</t>
  </si>
  <si>
    <t>Units: mu_g per g soil</t>
  </si>
  <si>
    <t>Beare</t>
  </si>
  <si>
    <t>Michael H.</t>
  </si>
  <si>
    <t>Geoderma</t>
  </si>
  <si>
    <t>Athens, GA, USA</t>
  </si>
  <si>
    <t>Cecil</t>
  </si>
  <si>
    <t xml:space="preserve">No </t>
  </si>
  <si>
    <t>Benjamin</t>
  </si>
  <si>
    <t>J.G.</t>
  </si>
  <si>
    <t>30-to-40</t>
  </si>
  <si>
    <t>0-to-40</t>
  </si>
  <si>
    <t>Mesic Aridic Paleustolls</t>
  </si>
  <si>
    <t>Macro-aggregates</t>
  </si>
  <si>
    <t>Note</t>
  </si>
  <si>
    <t>Not use</t>
  </si>
  <si>
    <t>Winter CC (planed in the fall)</t>
  </si>
  <si>
    <t>Penetration resistance</t>
  </si>
  <si>
    <t>0.5-0.25 mm agg</t>
  </si>
  <si>
    <t>Brill</t>
  </si>
  <si>
    <t>G.D.</t>
  </si>
  <si>
    <t>New jersey agriculture experiment station</t>
  </si>
  <si>
    <t>Yield/weed/biomass/erosion</t>
  </si>
  <si>
    <t>pounds/acre</t>
  </si>
  <si>
    <t>1 acre = 0.4047 ha</t>
  </si>
  <si>
    <t>1pound=0.4536kg</t>
  </si>
  <si>
    <t>Inches to cm</t>
  </si>
  <si>
    <t>Chu</t>
  </si>
  <si>
    <t>Bei</t>
  </si>
  <si>
    <t>Communications in Soil Science and Plant Analysis</t>
  </si>
  <si>
    <t>Timothy</t>
  </si>
  <si>
    <t>W-C-RC as treatment</t>
  </si>
  <si>
    <t>Enzyme activity-Phenol oxidase</t>
  </si>
  <si>
    <t>Jewett</t>
  </si>
  <si>
    <t xml:space="preserve">M.R. </t>
  </si>
  <si>
    <t>Journal of Sustainable Agriculture</t>
  </si>
  <si>
    <t>East Lansing, MI</t>
  </si>
  <si>
    <t>Arlington, WI</t>
  </si>
  <si>
    <t>ALL</t>
  </si>
  <si>
    <t>Average</t>
  </si>
  <si>
    <t>Yield is measured but not reported, use average represent</t>
  </si>
  <si>
    <t>Lupwayi</t>
  </si>
  <si>
    <t>N.Z.</t>
  </si>
  <si>
    <t>SBB</t>
  </si>
  <si>
    <t>Fort Vermilion</t>
  </si>
  <si>
    <t>Shannon index</t>
  </si>
  <si>
    <t>Substrate richness</t>
  </si>
  <si>
    <t>Substrate eveness</t>
  </si>
  <si>
    <t>Many other microbial activity index available</t>
  </si>
  <si>
    <t>Robb</t>
  </si>
  <si>
    <t>David</t>
  </si>
  <si>
    <t>Clemson University Student Organic Farm</t>
  </si>
  <si>
    <t>Plant available N</t>
  </si>
  <si>
    <t>Yield per unit of effort</t>
  </si>
  <si>
    <t>Squash</t>
  </si>
  <si>
    <t>TN(kg per ha)</t>
  </si>
  <si>
    <t>58 kg per ha</t>
  </si>
  <si>
    <t xml:space="preserve"> Urbana, IL</t>
  </si>
  <si>
    <t>Smectitic, mesic, Aquic Argiudolls</t>
  </si>
  <si>
    <t>Corn-Soybean</t>
  </si>
  <si>
    <t>Corn-Rye-Soybean-Rye</t>
  </si>
  <si>
    <t>Corn-Rye-Soybean-Vetch</t>
  </si>
  <si>
    <t>Corn-Rye-Soybean-Vetch-Rye</t>
  </si>
  <si>
    <t>Affect on soil texture available</t>
  </si>
  <si>
    <t>NO3-N, NH4-N == Nmin?</t>
  </si>
  <si>
    <t>plant availabel watre</t>
  </si>
  <si>
    <t>water retained at low tension</t>
  </si>
  <si>
    <t>Texture_C</t>
  </si>
  <si>
    <t>Runof_T</t>
  </si>
  <si>
    <t>Runoff_C</t>
  </si>
  <si>
    <t>Leaching_Comments</t>
  </si>
  <si>
    <t>Runoff_Comments</t>
  </si>
  <si>
    <t>Leaching_C</t>
  </si>
  <si>
    <t>Leaching_T</t>
  </si>
  <si>
    <t>GrainCropGroup</t>
  </si>
  <si>
    <t>CoverCropGroup</t>
  </si>
  <si>
    <t>Cover crop grouped by function or family</t>
  </si>
  <si>
    <t>Grain crop grouped by function or family</t>
  </si>
  <si>
    <t>FR/OA/FM/SS</t>
  </si>
  <si>
    <t>CA/CR/BA/RG</t>
  </si>
  <si>
    <t>FR/OA/CA/CR</t>
  </si>
  <si>
    <t>SH/SB/FR/OA</t>
  </si>
  <si>
    <t>RC/HV/CA/CR</t>
  </si>
  <si>
    <t>SH/SB/CA/CR</t>
  </si>
  <si>
    <t>RC/HV/FR/OA</t>
  </si>
  <si>
    <t>Rye/Rye</t>
  </si>
  <si>
    <t>White_clover</t>
  </si>
  <si>
    <t>White_mustard</t>
  </si>
  <si>
    <t>Trudan_8</t>
  </si>
  <si>
    <t>Rye_grain</t>
  </si>
  <si>
    <t>Crown_Vetch</t>
  </si>
  <si>
    <t>Red_clover</t>
  </si>
  <si>
    <t>Rye/Desiccated</t>
  </si>
  <si>
    <t>Oat/clover</t>
  </si>
  <si>
    <t>Rye/Vetch</t>
  </si>
  <si>
    <t>Rye/Clover</t>
  </si>
  <si>
    <t>Continus_wheat</t>
  </si>
  <si>
    <t>Crimson_clover</t>
  </si>
  <si>
    <t>Tartary_Buckwheat</t>
  </si>
  <si>
    <t>Rye_roots</t>
  </si>
  <si>
    <t>Rye_shoots</t>
  </si>
  <si>
    <t>Vetch_roots</t>
  </si>
  <si>
    <t>Vetch_shoots</t>
  </si>
  <si>
    <t>Winter_wheat</t>
  </si>
  <si>
    <t>Rye/Live_crop</t>
  </si>
  <si>
    <t>Rye/Residue_removed</t>
  </si>
  <si>
    <t>Sunn_hemp</t>
  </si>
  <si>
    <t>red_clover</t>
  </si>
  <si>
    <t>Subterranean_clover</t>
  </si>
  <si>
    <t>Common_Vetch</t>
  </si>
  <si>
    <t>Red_colver</t>
  </si>
  <si>
    <t>Kura_clover</t>
  </si>
  <si>
    <t>Spring_wheat</t>
  </si>
  <si>
    <t>Austrian_winter_pea</t>
  </si>
  <si>
    <t>Field_pea</t>
  </si>
  <si>
    <t>Semileafless_pea</t>
  </si>
  <si>
    <t>Forage_pea</t>
  </si>
  <si>
    <t>Common_chickweed</t>
  </si>
  <si>
    <t>Canada_bluegrass</t>
  </si>
  <si>
    <t>Downy_brome</t>
  </si>
  <si>
    <t>Hairy_vetch</t>
  </si>
  <si>
    <t>Rye_forage</t>
  </si>
  <si>
    <t>Wheat_early_forage</t>
  </si>
  <si>
    <t>Wheat_late_forage</t>
  </si>
  <si>
    <t>Wheat_early_grain</t>
  </si>
  <si>
    <t>Wheat_late_grain</t>
  </si>
  <si>
    <t>Sunn_hemp/Crimson_clover</t>
  </si>
  <si>
    <t>HV83/Rye17</t>
  </si>
  <si>
    <t>HV67/Rye33</t>
  </si>
  <si>
    <t>HV50/Rye50</t>
  </si>
  <si>
    <t>HV33/Rye67</t>
  </si>
  <si>
    <t>HV17/Rye83</t>
  </si>
  <si>
    <t>Oat/Canola/Vetch</t>
  </si>
  <si>
    <t>Oat/canola</t>
  </si>
  <si>
    <t>Canola/Vetch</t>
  </si>
  <si>
    <t>Oat/Vetch</t>
  </si>
  <si>
    <t>Rye_Spring_seeded_spring</t>
  </si>
  <si>
    <t>Rye_Fall_seeded_winter</t>
  </si>
  <si>
    <t>Rye_Fall_seeded_spring</t>
  </si>
  <si>
    <t>Rye_Winter</t>
  </si>
  <si>
    <t>Lentil_Winter</t>
  </si>
  <si>
    <t>Triticale_Winter</t>
  </si>
  <si>
    <t>Barley_Spring_seeded</t>
  </si>
  <si>
    <t>Oat_Spring_seeded</t>
  </si>
  <si>
    <t>Pea_Spring</t>
  </si>
  <si>
    <t>Lentil_Spring</t>
  </si>
  <si>
    <t>Barley_Fall_seeded</t>
  </si>
  <si>
    <t>Oat_Fall_seeded</t>
  </si>
  <si>
    <t>Triticale_Spring</t>
  </si>
  <si>
    <t>Alfalfa/bromegrass</t>
  </si>
  <si>
    <t>Vetch/Rye</t>
  </si>
  <si>
    <t>Triticale/Austrian_winter_pea</t>
  </si>
  <si>
    <t>Barley/Vetch</t>
  </si>
  <si>
    <t>Forage_radish</t>
  </si>
  <si>
    <t>Triticale/Winter_pea</t>
  </si>
  <si>
    <t>Rye/Vetch/Rye</t>
  </si>
  <si>
    <t>CerealRye/CrimsonClover</t>
  </si>
  <si>
    <t>Grass</t>
  </si>
  <si>
    <t>LG</t>
  </si>
  <si>
    <t>LL</t>
  </si>
  <si>
    <t>Weeds</t>
  </si>
  <si>
    <t>LB</t>
  </si>
  <si>
    <t>Broadleaf</t>
  </si>
  <si>
    <t>Corn/soybean/wheat</t>
  </si>
  <si>
    <t>Tomato/Safflower/Corn/Bean</t>
  </si>
  <si>
    <t>Corn/soybean</t>
  </si>
  <si>
    <t>Winter_wheat/Sorghum</t>
  </si>
  <si>
    <t>Pea/Bean/Tomatto/SweetCorn</t>
  </si>
  <si>
    <t>Conventional_Dairy_Corn</t>
  </si>
  <si>
    <t>Organic_Dairy_Corn</t>
  </si>
  <si>
    <t>Corn/Soybean</t>
  </si>
  <si>
    <t>Dry_bean</t>
  </si>
  <si>
    <t>Soybean_Coker</t>
  </si>
  <si>
    <t>Soybean_Bragg</t>
  </si>
  <si>
    <t>Soybean_Ransom</t>
  </si>
  <si>
    <t>Summer_wheat</t>
  </si>
  <si>
    <t>Acorn_Squash</t>
  </si>
  <si>
    <t>Not_available</t>
  </si>
  <si>
    <t>Continuous_Wheat</t>
  </si>
  <si>
    <t>Sweetcorn/broccoli</t>
  </si>
  <si>
    <t>NSF-Living Field Lab, Hickory Corners, MI chosed, Mixed of nine</t>
  </si>
  <si>
    <t>Mixed of four OF sites and two commertial sites</t>
  </si>
  <si>
    <t>Mixed of four OF sites</t>
  </si>
  <si>
    <t>Mixed pasture</t>
  </si>
  <si>
    <t>NotAvailable</t>
  </si>
  <si>
    <t>Corn/Wheat/Broccoli</t>
  </si>
  <si>
    <t>Bean/Beet/Corn/Bean</t>
  </si>
  <si>
    <t>CS</t>
  </si>
  <si>
    <t>CW</t>
  </si>
  <si>
    <t>MTT</t>
  </si>
  <si>
    <t>Winter_wheat/Crop</t>
  </si>
  <si>
    <t>Wheat-Crop-Fallow</t>
  </si>
  <si>
    <t>CV</t>
  </si>
  <si>
    <t>O</t>
  </si>
  <si>
    <t>Snap_bean/Sweetcorn</t>
  </si>
  <si>
    <t>Crop-Rotations</t>
  </si>
  <si>
    <t>WO</t>
  </si>
  <si>
    <t>CO</t>
  </si>
  <si>
    <t>CSW</t>
  </si>
  <si>
    <t>small grains–corn–soybean</t>
  </si>
  <si>
    <t>CWO</t>
  </si>
  <si>
    <t>CSO</t>
  </si>
  <si>
    <t>CVO</t>
  </si>
  <si>
    <t>Legume-wheat rotation</t>
  </si>
  <si>
    <t>OO</t>
  </si>
  <si>
    <t>WV</t>
  </si>
  <si>
    <t>Corn-wheat-millet</t>
  </si>
  <si>
    <t>SurfaceLayer</t>
  </si>
  <si>
    <t>1</t>
  </si>
  <si>
    <t>TopGroup</t>
  </si>
  <si>
    <t>MiddleGroup</t>
  </si>
  <si>
    <t>Comments</t>
  </si>
  <si>
    <t>Single cover crop</t>
  </si>
  <si>
    <t>Trudan</t>
  </si>
  <si>
    <t>Italian_Rye_grass</t>
  </si>
  <si>
    <t>Rye_grass</t>
  </si>
  <si>
    <t>Mixed of legume and brassica</t>
  </si>
  <si>
    <t>Mixed of legume and grass</t>
  </si>
  <si>
    <t>Mixed of legume and legume</t>
  </si>
  <si>
    <t>MMT</t>
  </si>
  <si>
    <t>Mixed of more than three</t>
  </si>
  <si>
    <t>GrainrCrop</t>
  </si>
  <si>
    <t>Monoculture</t>
  </si>
  <si>
    <t>Maize</t>
  </si>
  <si>
    <t>Other</t>
  </si>
  <si>
    <t>Rotation of two</t>
  </si>
  <si>
    <t>Rotation of two or more</t>
  </si>
  <si>
    <t>Corn-wheat</t>
  </si>
  <si>
    <t>Wheat_soybean</t>
  </si>
  <si>
    <t>Rotation of other two</t>
  </si>
  <si>
    <t>Corn-soybean-wheat</t>
  </si>
  <si>
    <t>Rotation of three or more</t>
  </si>
  <si>
    <t>Rotation of other three</t>
  </si>
  <si>
    <t>Rotation of more than three</t>
  </si>
  <si>
    <t>Number of earthwarm</t>
  </si>
  <si>
    <t>PFLA, Average of four, microaggregate treatment</t>
  </si>
  <si>
    <t>PFLA, Average of four, Silt and clay treatment</t>
  </si>
  <si>
    <t>Microbial functional diversity evaluated by Shannon's diversity index (H)</t>
  </si>
  <si>
    <t>Microbial functional diversity evaluated by Substrate richness (S)</t>
  </si>
  <si>
    <t>Microbial functional diversity evaluated by Substrate evenness (E)</t>
  </si>
  <si>
    <t>Carbon minierazation of control (mean value), also inlcude active C</t>
  </si>
  <si>
    <t>Carbon minierazation of treatment (mean value), also inlcude active C</t>
  </si>
  <si>
    <t>Nitrogen minierazation of control (mean value), also inlcudeplant available N</t>
  </si>
  <si>
    <t>Nitrogen minierazation of treatment (mean value), also inlcudeplant available N</t>
  </si>
  <si>
    <t>Stems + leaves, Units: kg per ha</t>
  </si>
  <si>
    <t>Organic carbon of control (mean value), SOC if without comments</t>
  </si>
  <si>
    <t>Organic carbon of treatment (mean value), SOC if without comments</t>
  </si>
  <si>
    <t>SOC, Units in Mg per Ha available</t>
  </si>
  <si>
    <t>TOC</t>
  </si>
  <si>
    <t>OM</t>
  </si>
  <si>
    <t>SOM, g per kg = 0.1%</t>
  </si>
  <si>
    <t>TC, g per kg = 0.1%</t>
  </si>
  <si>
    <t>OM, Number of year is 8</t>
  </si>
  <si>
    <t>SOC, Units Mg/ha to %</t>
  </si>
  <si>
    <t>Nitrate-N</t>
  </si>
  <si>
    <t>Nitrate-N, kg/ha to mg/kg</t>
  </si>
  <si>
    <t>Nitrate-N, kg per ha = 0.11 mg per kg</t>
  </si>
  <si>
    <t>Total Nitragen (g/kg to mg/kg)</t>
  </si>
  <si>
    <t>Total nitrogen, kg/ha</t>
  </si>
  <si>
    <t>Inorganic-N</t>
  </si>
  <si>
    <t>Aggregate of Field moist treatment</t>
  </si>
  <si>
    <t>infiltration defined as Rate (%) of rainfull</t>
  </si>
  <si>
    <t>Wind erosion defined as &lt; 0.84 mm aggregates</t>
  </si>
  <si>
    <t>N Concentration in drainage</t>
  </si>
  <si>
    <t>NO3 loss in drainage (mg per L)</t>
  </si>
  <si>
    <t>NO3-N loss in drainage</t>
  </si>
  <si>
    <t>se = sd / sqrt(N)</t>
  </si>
  <si>
    <t>sd = se * sqrt(N)</t>
  </si>
  <si>
    <t>Equation</t>
  </si>
  <si>
    <t>N = replication if without explaination</t>
  </si>
  <si>
    <t>Weeds dry biomass, Post</t>
  </si>
  <si>
    <t>Pests_C</t>
  </si>
  <si>
    <t>Pests_T</t>
  </si>
  <si>
    <t>Pests_Comments</t>
  </si>
  <si>
    <t>Fungal_C</t>
  </si>
  <si>
    <t>Fungal_T</t>
  </si>
  <si>
    <t>Fungal_Comments</t>
  </si>
  <si>
    <t>PestsControl_C</t>
  </si>
  <si>
    <t>PestsControl_T</t>
  </si>
  <si>
    <t>PestsControl_Comments</t>
  </si>
  <si>
    <t>Natural enimies (average of 5)</t>
  </si>
  <si>
    <t>Pest , natural enemies as pests control</t>
  </si>
  <si>
    <t>Palnt available N defined as cotton lint N uptake (kg per ha)</t>
  </si>
  <si>
    <t>See CoverCropGroup for more information</t>
  </si>
  <si>
    <t>See GrainCropGroup for more information</t>
  </si>
  <si>
    <t>Enzyme activity (b-glucosidase, b-glucosaminidase, and Phosphodiesterase)</t>
  </si>
  <si>
    <t>PLFA was used as a measure of microbial biomass.</t>
  </si>
  <si>
    <t>Microbial activity defined as Alkaline phosphatase activity</t>
  </si>
  <si>
    <t>Fungi</t>
  </si>
  <si>
    <t>Mycorrhiza</t>
  </si>
  <si>
    <t>Fungi to bacterial ratio</t>
  </si>
  <si>
    <t>Root disease potential defined as root health index (range from 1-9)</t>
  </si>
  <si>
    <t>SoilFauna_C</t>
  </si>
  <si>
    <t>SoilFauna_T</t>
  </si>
  <si>
    <t>SoilFauna_Comments</t>
  </si>
  <si>
    <t>OtherMicrobial_C</t>
  </si>
  <si>
    <t>OtherMicrobial_T</t>
  </si>
  <si>
    <t>OtherMicrobial_Comments</t>
  </si>
  <si>
    <t>SamplingDepth</t>
  </si>
  <si>
    <t>20</t>
  </si>
  <si>
    <t>7.5</t>
  </si>
  <si>
    <t>15</t>
  </si>
  <si>
    <t>1.5</t>
  </si>
  <si>
    <t>10</t>
  </si>
  <si>
    <t>30</t>
  </si>
  <si>
    <t>18</t>
  </si>
  <si>
    <t>5</t>
  </si>
  <si>
    <t>45</t>
  </si>
  <si>
    <t>60</t>
  </si>
  <si>
    <t>90</t>
  </si>
  <si>
    <t>120</t>
  </si>
  <si>
    <t>25</t>
  </si>
  <si>
    <t>3</t>
  </si>
  <si>
    <t>150</t>
  </si>
  <si>
    <t>122</t>
  </si>
  <si>
    <t>Enzyme_C</t>
  </si>
  <si>
    <t>Enzyme_T</t>
  </si>
  <si>
    <t>Enzyme_Comments</t>
  </si>
  <si>
    <t>7</t>
  </si>
  <si>
    <t>Cummulative water infiltration (cm) Figure 7 panel A</t>
  </si>
  <si>
    <t>Cummulative water infiltration (cm) Figure 7 panel B</t>
  </si>
  <si>
    <t>4.75-2 mm</t>
  </si>
  <si>
    <t>1991 to 2008</t>
  </si>
  <si>
    <t>1992 to 2008</t>
  </si>
  <si>
    <t>1993 to 2008</t>
  </si>
  <si>
    <t>nmol per kg to mgkg-2</t>
  </si>
  <si>
    <t>nmol per kg to mgkg-3</t>
  </si>
  <si>
    <t>nmol per kg to mgkg-4</t>
  </si>
  <si>
    <t>Drinkwater</t>
  </si>
  <si>
    <t>Nature</t>
  </si>
  <si>
    <t>Pennsylvania?</t>
  </si>
  <si>
    <t>NPP</t>
  </si>
  <si>
    <t>Kg N per ha of 15 years</t>
  </si>
  <si>
    <t>Soil &amp; Tillage Research</t>
  </si>
  <si>
    <t>Nyakatawa</t>
  </si>
  <si>
    <t>Alabama Agricultural  Experiment Station, Belle Mina, AL</t>
  </si>
  <si>
    <t>Silt loam</t>
  </si>
  <si>
    <t>Dicatur silt loam (clayey, kaolinitic, thermic, Typic Paleudults)</t>
  </si>
  <si>
    <t>rye (Secale cereale L.)</t>
  </si>
  <si>
    <t>continuous cotton (Gossypium hirsutum L.)</t>
  </si>
  <si>
    <t>67,2 kg P/ha; 67,2 kg K/ha</t>
  </si>
  <si>
    <t>E. Z.</t>
  </si>
  <si>
    <t>0-15</t>
  </si>
  <si>
    <t>NH4 panel 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</si>
</sst>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theme="1" tint="0.499984740745262"/>
      <name val="Calibri"/>
      <family val="2"/>
      <scheme val="minor"/>
    </font>
    <font>
      <sz val="9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3" fillId="23" borderId="0" applyNumberFormat="0" applyBorder="0" applyAlignment="0" applyProtection="0"/>
    <xf numFmtId="0" fontId="24" fillId="24" borderId="0" applyNumberFormat="0" applyBorder="0" applyAlignment="0" applyProtection="0"/>
    <xf numFmtId="0" fontId="25" fillId="25" borderId="10" applyNumberFormat="0" applyAlignment="0" applyProtection="0"/>
  </cellStyleXfs>
  <cellXfs count="20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7" borderId="0" xfId="0" applyFont="1" applyFill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0" fontId="0" fillId="8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10" borderId="0" xfId="0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0" fillId="0" borderId="1" xfId="0" applyNumberFormat="1" applyBorder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0" borderId="0" xfId="0" applyFont="1"/>
    <xf numFmtId="0" fontId="8" fillId="8" borderId="0" xfId="0" applyFont="1" applyFill="1"/>
    <xf numFmtId="49" fontId="1" fillId="2" borderId="0" xfId="0" applyNumberFormat="1" applyFont="1" applyFill="1"/>
    <xf numFmtId="49" fontId="3" fillId="6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8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/>
    </xf>
    <xf numFmtId="17" fontId="0" fillId="0" borderId="0" xfId="0" applyNumberFormat="1"/>
    <xf numFmtId="16" fontId="0" fillId="10" borderId="0" xfId="0" applyNumberFormat="1" applyFill="1" applyAlignment="1">
      <alignment horizontal="left"/>
    </xf>
    <xf numFmtId="16" fontId="0" fillId="8" borderId="0" xfId="0" applyNumberFormat="1" applyFill="1" applyAlignment="1">
      <alignment horizontal="left"/>
    </xf>
    <xf numFmtId="0" fontId="9" fillId="10" borderId="0" xfId="0" applyFont="1" applyFill="1" applyAlignment="1">
      <alignment horizontal="left"/>
    </xf>
    <xf numFmtId="49" fontId="9" fillId="10" borderId="0" xfId="0" applyNumberFormat="1" applyFont="1" applyFill="1" applyAlignment="1">
      <alignment horizontal="left"/>
    </xf>
    <xf numFmtId="16" fontId="9" fillId="10" borderId="0" xfId="0" applyNumberFormat="1" applyFont="1" applyFill="1" applyAlignment="1">
      <alignment horizontal="left"/>
    </xf>
    <xf numFmtId="0" fontId="9" fillId="8" borderId="0" xfId="0" applyFont="1" applyFill="1" applyAlignment="1">
      <alignment horizontal="left"/>
    </xf>
    <xf numFmtId="49" fontId="9" fillId="8" borderId="0" xfId="0" applyNumberFormat="1" applyFont="1" applyFill="1" applyAlignment="1">
      <alignment horizontal="left"/>
    </xf>
    <xf numFmtId="16" fontId="9" fillId="8" borderId="0" xfId="0" applyNumberFormat="1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49" fontId="11" fillId="8" borderId="0" xfId="0" applyNumberFormat="1" applyFont="1" applyFill="1" applyAlignment="1">
      <alignment horizontal="left"/>
    </xf>
    <xf numFmtId="0" fontId="11" fillId="10" borderId="0" xfId="0" applyFont="1" applyFill="1" applyAlignment="1">
      <alignment horizontal="left"/>
    </xf>
    <xf numFmtId="49" fontId="11" fillId="10" borderId="0" xfId="0" applyNumberFormat="1" applyFont="1" applyFill="1" applyAlignment="1">
      <alignment horizontal="left"/>
    </xf>
    <xf numFmtId="0" fontId="12" fillId="3" borderId="0" xfId="0" applyFont="1" applyFill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left"/>
    </xf>
    <xf numFmtId="49" fontId="13" fillId="6" borderId="0" xfId="0" applyNumberFormat="1" applyFont="1" applyFill="1" applyAlignment="1">
      <alignment horizontal="left"/>
    </xf>
    <xf numFmtId="0" fontId="14" fillId="6" borderId="0" xfId="0" applyFont="1" applyFill="1" applyAlignment="1">
      <alignment horizontal="left"/>
    </xf>
    <xf numFmtId="49" fontId="14" fillId="6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49" fontId="14" fillId="9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49" fontId="13" fillId="0" borderId="0" xfId="0" applyNumberFormat="1" applyFont="1" applyFill="1" applyAlignment="1">
      <alignment horizontal="left"/>
    </xf>
    <xf numFmtId="0" fontId="13" fillId="9" borderId="0" xfId="0" applyFon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0" fontId="3" fillId="13" borderId="0" xfId="0" applyFont="1" applyFill="1" applyAlignment="1">
      <alignment horizontal="left"/>
    </xf>
    <xf numFmtId="49" fontId="3" fillId="13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15" fillId="0" borderId="0" xfId="0" applyNumberFormat="1" applyFont="1" applyFill="1" applyAlignment="1">
      <alignment horizontal="left"/>
    </xf>
    <xf numFmtId="0" fontId="15" fillId="8" borderId="0" xfId="0" applyFont="1" applyFill="1" applyAlignment="1">
      <alignment horizontal="left"/>
    </xf>
    <xf numFmtId="49" fontId="15" fillId="8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16" fontId="3" fillId="6" borderId="0" xfId="0" applyNumberFormat="1" applyFont="1" applyFill="1" applyAlignment="1">
      <alignment horizontal="left"/>
    </xf>
    <xf numFmtId="0" fontId="12" fillId="0" borderId="0" xfId="0" applyFont="1"/>
    <xf numFmtId="0" fontId="16" fillId="8" borderId="0" xfId="0" applyFont="1" applyFill="1" applyAlignment="1">
      <alignment horizontal="left"/>
    </xf>
    <xf numFmtId="49" fontId="16" fillId="8" borderId="0" xfId="0" applyNumberFormat="1" applyFont="1" applyFill="1" applyAlignment="1">
      <alignment horizontal="left"/>
    </xf>
    <xf numFmtId="0" fontId="16" fillId="10" borderId="0" xfId="0" applyFont="1" applyFill="1" applyAlignment="1">
      <alignment horizontal="left"/>
    </xf>
    <xf numFmtId="49" fontId="16" fillId="10" borderId="0" xfId="0" applyNumberFormat="1" applyFont="1" applyFill="1" applyAlignment="1">
      <alignment horizontal="left"/>
    </xf>
    <xf numFmtId="0" fontId="16" fillId="6" borderId="0" xfId="0" applyFont="1" applyFill="1" applyAlignment="1">
      <alignment horizontal="left"/>
    </xf>
    <xf numFmtId="49" fontId="16" fillId="6" borderId="0" xfId="0" applyNumberFormat="1" applyFont="1" applyFill="1" applyAlignment="1">
      <alignment horizontal="left"/>
    </xf>
    <xf numFmtId="0" fontId="16" fillId="14" borderId="0" xfId="0" applyFont="1" applyFill="1" applyAlignment="1">
      <alignment horizontal="left"/>
    </xf>
    <xf numFmtId="49" fontId="16" fillId="14" borderId="0" xfId="0" applyNumberFormat="1" applyFont="1" applyFill="1" applyAlignment="1">
      <alignment horizontal="left"/>
    </xf>
    <xf numFmtId="0" fontId="16" fillId="9" borderId="0" xfId="0" applyFont="1" applyFill="1" applyAlignment="1">
      <alignment horizontal="left"/>
    </xf>
    <xf numFmtId="49" fontId="16" fillId="9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7" fillId="15" borderId="0" xfId="0" applyFont="1" applyFill="1" applyAlignment="1">
      <alignment vertical="center" wrapText="1"/>
    </xf>
    <xf numFmtId="0" fontId="19" fillId="15" borderId="0" xfId="0" applyFont="1" applyFill="1" applyAlignment="1">
      <alignment horizontal="left" vertical="center" wrapText="1"/>
    </xf>
    <xf numFmtId="0" fontId="19" fillId="15" borderId="0" xfId="0" applyFont="1" applyFill="1" applyAlignment="1">
      <alignment vertical="center" wrapText="1"/>
    </xf>
    <xf numFmtId="0" fontId="18" fillId="16" borderId="2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vertical="center" wrapText="1"/>
    </xf>
    <xf numFmtId="0" fontId="18" fillId="16" borderId="4" xfId="0" applyFont="1" applyFill="1" applyBorder="1" applyAlignment="1">
      <alignment horizontal="left" vertical="center" wrapText="1"/>
    </xf>
    <xf numFmtId="0" fontId="20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vertical="center" wrapText="1"/>
    </xf>
    <xf numFmtId="0" fontId="17" fillId="15" borderId="5" xfId="0" applyFont="1" applyFill="1" applyBorder="1" applyAlignment="1">
      <alignment vertical="center" wrapText="1"/>
    </xf>
    <xf numFmtId="0" fontId="19" fillId="15" borderId="6" xfId="0" applyFont="1" applyFill="1" applyBorder="1" applyAlignment="1">
      <alignment horizontal="left" vertical="center" wrapText="1"/>
    </xf>
    <xf numFmtId="0" fontId="19" fillId="15" borderId="6" xfId="0" applyFont="1" applyFill="1" applyBorder="1" applyAlignment="1">
      <alignment vertical="center" wrapText="1"/>
    </xf>
    <xf numFmtId="0" fontId="17" fillId="15" borderId="7" xfId="0" applyFont="1" applyFill="1" applyBorder="1" applyAlignment="1">
      <alignment vertical="center" wrapText="1"/>
    </xf>
    <xf numFmtId="0" fontId="19" fillId="15" borderId="8" xfId="0" applyFont="1" applyFill="1" applyBorder="1" applyAlignment="1">
      <alignment horizontal="left" vertical="center" wrapText="1"/>
    </xf>
    <xf numFmtId="0" fontId="19" fillId="15" borderId="9" xfId="0" applyFont="1" applyFill="1" applyBorder="1" applyAlignment="1">
      <alignment horizontal="left" vertical="center" wrapText="1"/>
    </xf>
    <xf numFmtId="0" fontId="21" fillId="9" borderId="0" xfId="0" applyFont="1" applyFill="1" applyAlignment="1">
      <alignment horizontal="left"/>
    </xf>
    <xf numFmtId="49" fontId="21" fillId="9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5" fillId="9" borderId="0" xfId="0" applyFont="1" applyFill="1" applyAlignment="1">
      <alignment horizontal="left"/>
    </xf>
    <xf numFmtId="49" fontId="15" fillId="9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49" fontId="15" fillId="6" borderId="0" xfId="0" applyNumberFormat="1" applyFont="1" applyFill="1" applyAlignment="1">
      <alignment horizontal="left"/>
    </xf>
    <xf numFmtId="0" fontId="22" fillId="17" borderId="0" xfId="0" applyFont="1" applyFill="1"/>
    <xf numFmtId="0" fontId="4" fillId="17" borderId="0" xfId="0" applyFont="1" applyFill="1" applyAlignment="1">
      <alignment horizontal="left"/>
    </xf>
    <xf numFmtId="0" fontId="1" fillId="18" borderId="0" xfId="0" applyFont="1" applyFill="1"/>
    <xf numFmtId="0" fontId="3" fillId="18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4" fillId="18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15" fillId="18" borderId="0" xfId="0" applyFont="1" applyFill="1" applyAlignment="1">
      <alignment horizontal="left"/>
    </xf>
    <xf numFmtId="0" fontId="16" fillId="18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19" borderId="0" xfId="0" applyFont="1" applyFill="1" applyAlignment="1">
      <alignment horizontal="left"/>
    </xf>
    <xf numFmtId="0" fontId="0" fillId="20" borderId="0" xfId="0" applyFill="1"/>
    <xf numFmtId="0" fontId="16" fillId="20" borderId="0" xfId="0" applyFont="1" applyFill="1"/>
    <xf numFmtId="0" fontId="0" fillId="7" borderId="0" xfId="0" applyFill="1" applyAlignment="1">
      <alignment horizontal="center" vertical="top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 vertical="top"/>
    </xf>
    <xf numFmtId="0" fontId="0" fillId="21" borderId="0" xfId="0" applyFill="1" applyAlignment="1">
      <alignment horizontal="left"/>
    </xf>
    <xf numFmtId="0" fontId="4" fillId="22" borderId="0" xfId="0" applyFont="1" applyFill="1" applyAlignment="1">
      <alignment horizontal="left"/>
    </xf>
    <xf numFmtId="0" fontId="1" fillId="22" borderId="0" xfId="0" applyFont="1" applyFill="1"/>
    <xf numFmtId="49" fontId="4" fillId="22" borderId="0" xfId="0" applyNumberFormat="1" applyFont="1" applyFill="1" applyAlignment="1">
      <alignment horizontal="left"/>
    </xf>
    <xf numFmtId="0" fontId="3" fillId="22" borderId="0" xfId="0" applyFont="1" applyFill="1" applyAlignment="1">
      <alignment horizontal="left"/>
    </xf>
    <xf numFmtId="0" fontId="0" fillId="22" borderId="0" xfId="0" applyFill="1" applyAlignment="1">
      <alignment horizontal="left"/>
    </xf>
    <xf numFmtId="2" fontId="22" fillId="2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/>
    <xf numFmtId="0" fontId="3" fillId="17" borderId="0" xfId="0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3" fillId="12" borderId="0" xfId="1" applyNumberFormat="1" applyFont="1" applyFill="1" applyBorder="1" applyAlignment="1">
      <alignment horizontal="left"/>
    </xf>
    <xf numFmtId="0" fontId="3" fillId="12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22" fillId="0" borderId="0" xfId="3" applyFont="1" applyFill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</cellXfs>
  <cellStyles count="4">
    <cellStyle name="差" xfId="1" builtinId="27"/>
    <cellStyle name="常规" xfId="0" builtinId="0"/>
    <cellStyle name="计算" xfId="3" builtinId="22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820"/>
  <sheetViews>
    <sheetView tabSelected="1" topLeftCell="ES1" zoomScale="85" zoomScaleNormal="85" workbookViewId="0">
      <pane ySplit="1" topLeftCell="A2" activePane="bottomLeft" state="frozen"/>
      <selection pane="bottomLeft" activeCell="FR24" sqref="FR24"/>
    </sheetView>
  </sheetViews>
  <sheetFormatPr defaultRowHeight="15" x14ac:dyDescent="0.25"/>
  <cols>
    <col min="1" max="6" width="9.140625" style="46"/>
    <col min="7" max="7" width="11.140625" style="46" customWidth="1"/>
    <col min="8" max="15" width="9.140625" style="46"/>
    <col min="16" max="16" width="10.85546875" style="81" customWidth="1"/>
    <col min="17" max="17" width="9.85546875" style="81" customWidth="1"/>
    <col min="18" max="20" width="10.85546875" style="81" customWidth="1"/>
    <col min="21" max="21" width="14.85546875" style="81" customWidth="1"/>
    <col min="22" max="22" width="10.85546875" style="81" customWidth="1"/>
    <col min="23" max="25" width="10.85546875" style="46" customWidth="1"/>
    <col min="26" max="26" width="16.5703125" style="46" customWidth="1"/>
    <col min="27" max="29" width="9.140625" style="46" customWidth="1"/>
    <col min="30" max="30" width="11.140625" style="46" customWidth="1"/>
    <col min="31" max="31" width="30.28515625" style="46" customWidth="1"/>
    <col min="32" max="32" width="17.7109375" style="152" customWidth="1"/>
    <col min="33" max="33" width="16.42578125" style="46" customWidth="1"/>
    <col min="34" max="34" width="14.7109375" style="155" customWidth="1"/>
    <col min="35" max="35" width="10.140625" style="46" customWidth="1"/>
    <col min="36" max="36" width="10.42578125" style="46" customWidth="1"/>
    <col min="37" max="37" width="9.42578125" style="46" customWidth="1"/>
    <col min="38" max="38" width="10.42578125" style="46" customWidth="1"/>
    <col min="39" max="39" width="9.42578125" style="46" customWidth="1"/>
    <col min="40" max="40" width="10.42578125" style="46" customWidth="1"/>
    <col min="41" max="41" width="13.28515625" style="46" customWidth="1"/>
    <col min="42" max="42" width="13.85546875" style="46" customWidth="1"/>
    <col min="43" max="43" width="7.5703125" style="46" customWidth="1"/>
    <col min="44" max="44" width="11.5703125" style="46" customWidth="1"/>
    <col min="45" max="47" width="8.28515625" style="46" customWidth="1"/>
    <col min="48" max="48" width="11.5703125" style="46" customWidth="1"/>
    <col min="49" max="50" width="9.140625" style="46"/>
    <col min="51" max="51" width="15.28515625" style="46" customWidth="1"/>
    <col min="52" max="52" width="15.140625" style="46" customWidth="1"/>
    <col min="53" max="53" width="14.7109375" style="46" customWidth="1"/>
    <col min="54" max="54" width="14" style="46" customWidth="1"/>
    <col min="55" max="55" width="16.85546875" style="46" customWidth="1"/>
    <col min="56" max="57" width="9.140625" style="46"/>
    <col min="58" max="58" width="15" style="46" customWidth="1"/>
    <col min="59" max="60" width="9.140625" style="46"/>
    <col min="61" max="61" width="14" style="46" customWidth="1"/>
    <col min="62" max="63" width="9.140625" style="46"/>
    <col min="64" max="64" width="13.7109375" style="46" customWidth="1"/>
    <col min="65" max="69" width="9.140625" style="46"/>
    <col min="70" max="70" width="11.7109375" style="46" customWidth="1"/>
    <col min="71" max="71" width="9.140625" style="46"/>
    <col min="72" max="72" width="9.42578125" style="46" customWidth="1"/>
    <col min="73" max="73" width="12.5703125" style="46" customWidth="1"/>
    <col min="74" max="75" width="9.140625" style="46"/>
    <col min="76" max="76" width="14" style="46" customWidth="1"/>
    <col min="77" max="78" width="9.140625" style="46"/>
    <col min="79" max="79" width="14.7109375" style="46" customWidth="1"/>
    <col min="80" max="81" width="9.140625" style="46"/>
    <col min="82" max="82" width="14" style="46" customWidth="1"/>
    <col min="83" max="83" width="6.85546875" style="46" customWidth="1"/>
    <col min="84" max="84" width="6.5703125" style="46" customWidth="1"/>
    <col min="85" max="85" width="14.140625" style="46" customWidth="1"/>
    <col min="86" max="87" width="9.140625" style="46"/>
    <col min="88" max="88" width="16.42578125" style="46" customWidth="1"/>
    <col min="89" max="89" width="10.140625" style="46" customWidth="1"/>
    <col min="90" max="90" width="10.5703125" style="46" customWidth="1"/>
    <col min="91" max="91" width="16.42578125" style="46" customWidth="1"/>
    <col min="92" max="92" width="14" style="46" customWidth="1"/>
    <col min="93" max="93" width="12.7109375" style="46" customWidth="1"/>
    <col min="94" max="94" width="20.140625" style="46" customWidth="1"/>
    <col min="95" max="95" width="11.42578125" style="46" customWidth="1"/>
    <col min="96" max="96" width="12" style="46" customWidth="1"/>
    <col min="97" max="97" width="19.5703125" style="46" customWidth="1"/>
    <col min="98" max="98" width="7.140625" style="46" customWidth="1"/>
    <col min="99" max="99" width="6.42578125" style="46" customWidth="1"/>
    <col min="100" max="100" width="12.85546875" style="46" customWidth="1"/>
    <col min="101" max="102" width="9.42578125" style="46" customWidth="1"/>
    <col min="103" max="103" width="12.85546875" style="46" customWidth="1"/>
    <col min="104" max="105" width="9.140625" style="46"/>
    <col min="106" max="106" width="17" style="46" customWidth="1"/>
    <col min="107" max="108" width="15.140625" style="46" customWidth="1"/>
    <col min="109" max="109" width="20" style="46" customWidth="1"/>
    <col min="110" max="110" width="6.140625" style="46" customWidth="1"/>
    <col min="111" max="111" width="6" style="46" customWidth="1"/>
    <col min="112" max="112" width="13" style="46" customWidth="1"/>
    <col min="113" max="113" width="8.140625" style="46" customWidth="1"/>
    <col min="114" max="114" width="7.42578125" style="46" customWidth="1"/>
    <col min="115" max="115" width="15.42578125" style="46" customWidth="1"/>
    <col min="116" max="117" width="9.140625" style="46"/>
    <col min="118" max="118" width="16.5703125" style="46" customWidth="1"/>
    <col min="119" max="119" width="8.42578125" style="46" customWidth="1"/>
    <col min="120" max="120" width="8.140625" style="46" customWidth="1"/>
    <col min="121" max="121" width="15.42578125" style="46" customWidth="1"/>
    <col min="122" max="122" width="11.28515625" style="46" customWidth="1"/>
    <col min="123" max="123" width="10.85546875" style="46" customWidth="1"/>
    <col min="124" max="124" width="18" style="46" customWidth="1"/>
    <col min="125" max="125" width="10" style="46" customWidth="1"/>
    <col min="126" max="126" width="9.5703125" style="46" customWidth="1"/>
    <col min="127" max="127" width="11.5703125" style="46" customWidth="1"/>
    <col min="128" max="128" width="14.42578125" style="46" customWidth="1"/>
    <col min="129" max="129" width="13.85546875" style="46" customWidth="1"/>
    <col min="130" max="130" width="17.140625" style="46" customWidth="1"/>
    <col min="131" max="131" width="8.5703125" style="46" customWidth="1"/>
    <col min="132" max="132" width="8.42578125" style="46" customWidth="1"/>
    <col min="133" max="133" width="11" style="46" customWidth="1"/>
    <col min="134" max="134" width="10.140625" style="46" customWidth="1"/>
    <col min="135" max="135" width="10" style="46" customWidth="1"/>
    <col min="136" max="139" width="11" style="46" customWidth="1"/>
    <col min="140" max="140" width="16.85546875" style="46" customWidth="1"/>
    <col min="141" max="141" width="16.140625" style="46" customWidth="1"/>
    <col min="142" max="142" width="19.85546875" style="46" customWidth="1"/>
    <col min="143" max="144" width="9.140625" style="46"/>
    <col min="145" max="145" width="16.42578125" style="46" customWidth="1"/>
    <col min="146" max="147" width="9.140625" style="46"/>
    <col min="148" max="148" width="12.42578125" style="46" customWidth="1"/>
    <col min="149" max="149" width="8.140625" style="46" customWidth="1"/>
    <col min="150" max="150" width="7" style="46" customWidth="1"/>
    <col min="151" max="151" width="11.42578125" style="46" customWidth="1"/>
    <col min="152" max="152" width="6.5703125" style="46" customWidth="1"/>
    <col min="153" max="153" width="6.28515625" style="46" customWidth="1"/>
    <col min="154" max="154" width="13.5703125" style="46" customWidth="1"/>
    <col min="155" max="155" width="11.28515625" style="46" customWidth="1"/>
    <col min="156" max="156" width="11" style="46" customWidth="1"/>
    <col min="157" max="157" width="16" style="46" customWidth="1"/>
    <col min="158" max="158" width="7.42578125" style="46" customWidth="1"/>
    <col min="159" max="159" width="7" style="46" customWidth="1"/>
    <col min="160" max="160" width="11.28515625" style="46" customWidth="1"/>
    <col min="161" max="161" width="7" style="46" customWidth="1"/>
    <col min="162" max="162" width="7.140625" style="46" customWidth="1"/>
    <col min="163" max="163" width="11.5703125" style="46" customWidth="1"/>
    <col min="164" max="165" width="9.140625" style="46"/>
    <col min="166" max="166" width="14.28515625" style="46" customWidth="1"/>
    <col min="167" max="167" width="9.5703125" style="46" customWidth="1"/>
    <col min="168" max="168" width="9.140625" style="46" customWidth="1"/>
    <col min="169" max="169" width="12.42578125" style="46" customWidth="1"/>
    <col min="170" max="170" width="9.140625" style="46"/>
    <col min="171" max="171" width="8.85546875" style="46" customWidth="1"/>
    <col min="172" max="172" width="6.5703125" style="46" customWidth="1"/>
    <col min="173" max="173" width="9" style="46" customWidth="1"/>
    <col min="174" max="174" width="20.85546875" style="46" customWidth="1"/>
    <col min="175" max="175" width="26.140625" style="46" customWidth="1"/>
    <col min="176" max="176" width="9.140625" style="46"/>
    <col min="178" max="178" width="10.42578125" style="46" customWidth="1"/>
    <col min="179" max="16384" width="9.140625" style="46"/>
  </cols>
  <sheetData>
    <row r="1" spans="1:176" s="5" customFormat="1" x14ac:dyDescent="0.25">
      <c r="A1" s="7" t="s">
        <v>137</v>
      </c>
      <c r="B1" s="16" t="s">
        <v>45</v>
      </c>
      <c r="C1" s="16" t="s">
        <v>46</v>
      </c>
      <c r="D1" s="16" t="s">
        <v>6</v>
      </c>
      <c r="E1" s="16" t="s">
        <v>221</v>
      </c>
      <c r="F1" s="16" t="s">
        <v>111</v>
      </c>
      <c r="G1" s="16" t="s">
        <v>4</v>
      </c>
      <c r="H1" s="16" t="s">
        <v>3</v>
      </c>
      <c r="I1" s="16" t="s">
        <v>2</v>
      </c>
      <c r="J1" s="16" t="s">
        <v>110</v>
      </c>
      <c r="K1" s="16" t="s">
        <v>37</v>
      </c>
      <c r="L1" s="16" t="s">
        <v>16</v>
      </c>
      <c r="M1" s="16" t="s">
        <v>38</v>
      </c>
      <c r="N1" s="16" t="s">
        <v>17</v>
      </c>
      <c r="O1" s="16" t="s">
        <v>18</v>
      </c>
      <c r="P1" s="160" t="s">
        <v>146</v>
      </c>
      <c r="Q1" s="16" t="s">
        <v>995</v>
      </c>
      <c r="R1" s="51" t="s">
        <v>998</v>
      </c>
      <c r="S1" s="51" t="s">
        <v>7</v>
      </c>
      <c r="T1" s="51" t="s">
        <v>1592</v>
      </c>
      <c r="U1" s="51" t="s">
        <v>1811</v>
      </c>
      <c r="V1" s="174" t="s">
        <v>1902</v>
      </c>
      <c r="W1" s="16" t="s">
        <v>321</v>
      </c>
      <c r="X1" s="16" t="s">
        <v>149</v>
      </c>
      <c r="Y1" s="16" t="s">
        <v>150</v>
      </c>
      <c r="Z1" s="16" t="s">
        <v>15</v>
      </c>
      <c r="AA1" s="16" t="s">
        <v>226</v>
      </c>
      <c r="AB1" s="16" t="s">
        <v>227</v>
      </c>
      <c r="AC1" s="16" t="s">
        <v>228</v>
      </c>
      <c r="AD1" s="16" t="s">
        <v>1469</v>
      </c>
      <c r="AE1" s="16" t="s">
        <v>0</v>
      </c>
      <c r="AF1" s="151" t="s">
        <v>1679</v>
      </c>
      <c r="AG1" s="16" t="s">
        <v>1</v>
      </c>
      <c r="AH1" s="153" t="s">
        <v>1678</v>
      </c>
      <c r="AI1" s="16" t="s">
        <v>619</v>
      </c>
      <c r="AJ1" s="16" t="s">
        <v>618</v>
      </c>
      <c r="AK1" s="16" t="s">
        <v>620</v>
      </c>
      <c r="AL1" s="16" t="s">
        <v>623</v>
      </c>
      <c r="AM1" s="16" t="s">
        <v>622</v>
      </c>
      <c r="AN1" s="16" t="s">
        <v>624</v>
      </c>
      <c r="AO1" s="16" t="s">
        <v>255</v>
      </c>
      <c r="AP1" s="16" t="s">
        <v>254</v>
      </c>
      <c r="AQ1" s="16" t="s">
        <v>586</v>
      </c>
      <c r="AR1" s="7" t="s">
        <v>88</v>
      </c>
      <c r="AS1" s="7" t="s">
        <v>26</v>
      </c>
      <c r="AT1" s="7" t="s">
        <v>25</v>
      </c>
      <c r="AU1" s="7" t="s">
        <v>168</v>
      </c>
      <c r="AV1" s="7" t="s">
        <v>92</v>
      </c>
      <c r="AW1" s="7" t="s">
        <v>91</v>
      </c>
      <c r="AX1" s="7" t="s">
        <v>1115</v>
      </c>
      <c r="AY1" s="16" t="s">
        <v>703</v>
      </c>
      <c r="AZ1" s="89" t="s">
        <v>171</v>
      </c>
      <c r="BA1" s="17" t="s">
        <v>1275</v>
      </c>
      <c r="BB1" s="17" t="s">
        <v>1276</v>
      </c>
      <c r="BC1" s="17" t="s">
        <v>959</v>
      </c>
      <c r="BD1" s="17" t="s">
        <v>912</v>
      </c>
      <c r="BE1" s="17" t="s">
        <v>913</v>
      </c>
      <c r="BF1" s="17" t="s">
        <v>914</v>
      </c>
      <c r="BG1" s="17" t="s">
        <v>24</v>
      </c>
      <c r="BH1" s="17" t="s">
        <v>23</v>
      </c>
      <c r="BI1" s="17" t="s">
        <v>915</v>
      </c>
      <c r="BJ1" s="17" t="s">
        <v>10</v>
      </c>
      <c r="BK1" s="17" t="s">
        <v>9</v>
      </c>
      <c r="BL1" s="17" t="s">
        <v>858</v>
      </c>
      <c r="BM1" s="17" t="s">
        <v>270</v>
      </c>
      <c r="BN1" s="17" t="s">
        <v>271</v>
      </c>
      <c r="BO1" s="17" t="s">
        <v>859</v>
      </c>
      <c r="BP1" s="17" t="s">
        <v>20</v>
      </c>
      <c r="BQ1" s="17" t="s">
        <v>19</v>
      </c>
      <c r="BR1" s="17" t="s">
        <v>860</v>
      </c>
      <c r="BS1" s="17" t="s">
        <v>22</v>
      </c>
      <c r="BT1" s="17" t="s">
        <v>21</v>
      </c>
      <c r="BU1" s="17" t="s">
        <v>917</v>
      </c>
      <c r="BV1" s="17" t="s">
        <v>12</v>
      </c>
      <c r="BW1" s="17" t="s">
        <v>11</v>
      </c>
      <c r="BX1" s="17" t="s">
        <v>918</v>
      </c>
      <c r="BY1" s="17" t="s">
        <v>32</v>
      </c>
      <c r="BZ1" s="17" t="s">
        <v>31</v>
      </c>
      <c r="CA1" s="17" t="s">
        <v>921</v>
      </c>
      <c r="CB1" s="17" t="s">
        <v>34</v>
      </c>
      <c r="CC1" s="17" t="s">
        <v>33</v>
      </c>
      <c r="CD1" s="17" t="s">
        <v>862</v>
      </c>
      <c r="CE1" s="17" t="s">
        <v>36</v>
      </c>
      <c r="CF1" s="17" t="s">
        <v>35</v>
      </c>
      <c r="CG1" s="17" t="s">
        <v>922</v>
      </c>
      <c r="CH1" s="80" t="s">
        <v>28</v>
      </c>
      <c r="CI1" s="80" t="s">
        <v>27</v>
      </c>
      <c r="CJ1" s="80" t="s">
        <v>861</v>
      </c>
      <c r="CK1" s="80" t="s">
        <v>1052</v>
      </c>
      <c r="CL1" s="80" t="s">
        <v>1053</v>
      </c>
      <c r="CM1" s="80" t="s">
        <v>1054</v>
      </c>
      <c r="CN1" s="17" t="s">
        <v>30</v>
      </c>
      <c r="CO1" s="17" t="s">
        <v>29</v>
      </c>
      <c r="CP1" s="17" t="s">
        <v>920</v>
      </c>
      <c r="CQ1" s="17" t="s">
        <v>42</v>
      </c>
      <c r="CR1" s="17" t="s">
        <v>41</v>
      </c>
      <c r="CS1" s="17" t="s">
        <v>863</v>
      </c>
      <c r="CT1" s="17" t="s">
        <v>118</v>
      </c>
      <c r="CU1" s="17" t="s">
        <v>117</v>
      </c>
      <c r="CV1" s="17" t="s">
        <v>924</v>
      </c>
      <c r="CW1" s="17" t="s">
        <v>1163</v>
      </c>
      <c r="CX1" s="17" t="s">
        <v>1164</v>
      </c>
      <c r="CY1" s="17" t="s">
        <v>1165</v>
      </c>
      <c r="CZ1" s="17" t="s">
        <v>1673</v>
      </c>
      <c r="DA1" s="17" t="s">
        <v>1672</v>
      </c>
      <c r="DB1" s="17" t="s">
        <v>1675</v>
      </c>
      <c r="DC1" s="17" t="s">
        <v>1676</v>
      </c>
      <c r="DD1" s="17" t="s">
        <v>1677</v>
      </c>
      <c r="DE1" s="17" t="s">
        <v>1674</v>
      </c>
      <c r="DF1" s="17" t="s">
        <v>80</v>
      </c>
      <c r="DG1" s="17" t="s">
        <v>81</v>
      </c>
      <c r="DH1" s="17" t="s">
        <v>925</v>
      </c>
      <c r="DI1" s="17" t="s">
        <v>82</v>
      </c>
      <c r="DJ1" s="17" t="s">
        <v>83</v>
      </c>
      <c r="DK1" s="17" t="s">
        <v>926</v>
      </c>
      <c r="DL1" s="17" t="s">
        <v>40</v>
      </c>
      <c r="DM1" s="17" t="s">
        <v>39</v>
      </c>
      <c r="DN1" s="17" t="s">
        <v>923</v>
      </c>
      <c r="DO1" s="80" t="s">
        <v>175</v>
      </c>
      <c r="DP1" s="80" t="s">
        <v>174</v>
      </c>
      <c r="DQ1" s="80" t="s">
        <v>927</v>
      </c>
      <c r="DR1" s="18" t="s">
        <v>407</v>
      </c>
      <c r="DS1" s="18" t="s">
        <v>406</v>
      </c>
      <c r="DT1" s="18" t="s">
        <v>928</v>
      </c>
      <c r="DU1" s="18" t="s">
        <v>1875</v>
      </c>
      <c r="DV1" s="18" t="s">
        <v>1876</v>
      </c>
      <c r="DW1" s="18" t="s">
        <v>1877</v>
      </c>
      <c r="DX1" s="18" t="s">
        <v>1881</v>
      </c>
      <c r="DY1" s="18" t="s">
        <v>1882</v>
      </c>
      <c r="DZ1" s="18" t="s">
        <v>1883</v>
      </c>
      <c r="EA1" s="18" t="s">
        <v>1896</v>
      </c>
      <c r="EB1" s="18" t="s">
        <v>1897</v>
      </c>
      <c r="EC1" s="18" t="s">
        <v>1898</v>
      </c>
      <c r="ED1" s="18" t="s">
        <v>1878</v>
      </c>
      <c r="EE1" s="18" t="s">
        <v>1879</v>
      </c>
      <c r="EF1" s="18" t="s">
        <v>1880</v>
      </c>
      <c r="EG1" s="18" t="s">
        <v>1899</v>
      </c>
      <c r="EH1" s="18" t="s">
        <v>1900</v>
      </c>
      <c r="EI1" s="18" t="s">
        <v>1901</v>
      </c>
      <c r="EJ1" s="106" t="s">
        <v>1919</v>
      </c>
      <c r="EK1" s="18" t="s">
        <v>1920</v>
      </c>
      <c r="EL1" s="18" t="s">
        <v>1921</v>
      </c>
      <c r="EM1" s="18" t="s">
        <v>120</v>
      </c>
      <c r="EN1" s="18" t="s">
        <v>119</v>
      </c>
      <c r="EO1" s="18" t="s">
        <v>929</v>
      </c>
      <c r="EP1" s="18" t="s">
        <v>122</v>
      </c>
      <c r="EQ1" s="18" t="s">
        <v>121</v>
      </c>
      <c r="ER1" s="18" t="s">
        <v>933</v>
      </c>
      <c r="ES1" s="18" t="s">
        <v>1522</v>
      </c>
      <c r="ET1" s="18" t="s">
        <v>1523</v>
      </c>
      <c r="EU1" s="18" t="s">
        <v>1524</v>
      </c>
      <c r="EV1" s="18" t="s">
        <v>124</v>
      </c>
      <c r="EW1" s="18" t="s">
        <v>123</v>
      </c>
      <c r="EX1" s="18" t="s">
        <v>930</v>
      </c>
      <c r="EY1" s="18" t="s">
        <v>126</v>
      </c>
      <c r="EZ1" s="18" t="s">
        <v>125</v>
      </c>
      <c r="FA1" s="18" t="s">
        <v>931</v>
      </c>
      <c r="FB1" s="18" t="s">
        <v>1525</v>
      </c>
      <c r="FC1" s="18" t="s">
        <v>1526</v>
      </c>
      <c r="FD1" s="18" t="s">
        <v>1527</v>
      </c>
      <c r="FE1" s="18" t="s">
        <v>1528</v>
      </c>
      <c r="FF1" s="18" t="s">
        <v>1529</v>
      </c>
      <c r="FG1" s="18" t="s">
        <v>1530</v>
      </c>
      <c r="FH1" s="18" t="s">
        <v>182</v>
      </c>
      <c r="FI1" s="18" t="s">
        <v>127</v>
      </c>
      <c r="FJ1" s="18" t="s">
        <v>932</v>
      </c>
      <c r="FK1" s="18" t="s">
        <v>1243</v>
      </c>
      <c r="FL1" s="18" t="s">
        <v>1244</v>
      </c>
      <c r="FM1" s="18" t="s">
        <v>1245</v>
      </c>
      <c r="FN1" s="106" t="s">
        <v>1307</v>
      </c>
      <c r="FO1" s="106" t="s">
        <v>1532</v>
      </c>
      <c r="FP1" s="106" t="s">
        <v>1531</v>
      </c>
      <c r="FQ1" s="106" t="s">
        <v>1671</v>
      </c>
      <c r="FR1" s="89" t="s">
        <v>957</v>
      </c>
      <c r="FS1" s="90" t="s">
        <v>802</v>
      </c>
      <c r="FT1" s="7" t="s">
        <v>137</v>
      </c>
    </row>
    <row r="2" spans="1:176" s="26" customFormat="1" x14ac:dyDescent="0.25">
      <c r="A2" s="26">
        <v>1</v>
      </c>
      <c r="B2" s="26" t="s">
        <v>138</v>
      </c>
      <c r="C2" s="26" t="s">
        <v>139</v>
      </c>
      <c r="D2" s="26">
        <v>2000</v>
      </c>
      <c r="E2" s="26">
        <v>2000</v>
      </c>
      <c r="F2" s="26" t="s">
        <v>140</v>
      </c>
      <c r="G2" s="26" t="s">
        <v>141</v>
      </c>
      <c r="H2" s="26">
        <v>40.71</v>
      </c>
      <c r="I2" s="26">
        <v>-74.010000000000005</v>
      </c>
      <c r="J2" s="26">
        <v>3.5</v>
      </c>
      <c r="P2" s="52" t="s">
        <v>1812</v>
      </c>
      <c r="Q2" s="52"/>
      <c r="R2" s="52"/>
      <c r="S2" s="26" t="s">
        <v>1553</v>
      </c>
      <c r="T2" s="26" t="s">
        <v>1553</v>
      </c>
      <c r="U2" s="26" t="s">
        <v>1553</v>
      </c>
      <c r="V2" s="26" t="s">
        <v>1553</v>
      </c>
      <c r="Z2" s="26" t="s">
        <v>1788</v>
      </c>
      <c r="AE2" s="26" t="s">
        <v>1690</v>
      </c>
      <c r="AF2" s="152" t="s">
        <v>666</v>
      </c>
      <c r="AG2" s="26" t="s">
        <v>1790</v>
      </c>
      <c r="AH2" s="154" t="s">
        <v>1793</v>
      </c>
      <c r="AR2" s="26" t="s">
        <v>147</v>
      </c>
      <c r="AY2" s="63"/>
      <c r="DR2" s="26">
        <v>6.6</v>
      </c>
      <c r="DS2" s="26">
        <v>7</v>
      </c>
      <c r="DT2" s="26" t="s">
        <v>148</v>
      </c>
      <c r="EJ2" s="12"/>
      <c r="EL2" s="15"/>
      <c r="FR2" s="26" t="s">
        <v>807</v>
      </c>
      <c r="FT2" s="26">
        <v>1</v>
      </c>
    </row>
    <row r="3" spans="1:176" s="26" customFormat="1" x14ac:dyDescent="0.25">
      <c r="A3" s="26">
        <v>1</v>
      </c>
      <c r="B3" s="26" t="s">
        <v>138</v>
      </c>
      <c r="C3" s="26" t="s">
        <v>139</v>
      </c>
      <c r="D3" s="26">
        <v>2000</v>
      </c>
      <c r="E3" s="26">
        <v>2000</v>
      </c>
      <c r="F3" s="26" t="s">
        <v>140</v>
      </c>
      <c r="G3" s="26" t="s">
        <v>141</v>
      </c>
      <c r="H3" s="26">
        <v>40.71</v>
      </c>
      <c r="I3" s="26">
        <v>-74.010000000000005</v>
      </c>
      <c r="J3" s="26">
        <v>3.5</v>
      </c>
      <c r="P3" s="52" t="s">
        <v>1812</v>
      </c>
      <c r="Q3" s="52"/>
      <c r="R3" s="52"/>
      <c r="S3" s="26" t="s">
        <v>1553</v>
      </c>
      <c r="T3" s="26" t="s">
        <v>1553</v>
      </c>
      <c r="U3" s="26" t="s">
        <v>1553</v>
      </c>
      <c r="V3" s="26" t="s">
        <v>1553</v>
      </c>
      <c r="Z3" s="26" t="s">
        <v>1788</v>
      </c>
      <c r="AE3" s="26" t="s">
        <v>281</v>
      </c>
      <c r="AF3" s="152" t="s">
        <v>666</v>
      </c>
      <c r="AG3" s="26" t="s">
        <v>1790</v>
      </c>
      <c r="AH3" s="154" t="s">
        <v>1793</v>
      </c>
      <c r="AR3" s="26" t="s">
        <v>147</v>
      </c>
      <c r="AY3" s="63"/>
      <c r="DR3" s="26">
        <v>6.6</v>
      </c>
      <c r="DS3" s="26">
        <v>6</v>
      </c>
      <c r="DT3" s="26" t="s">
        <v>148</v>
      </c>
      <c r="EJ3" s="12"/>
      <c r="EL3" s="15"/>
      <c r="FR3" s="26" t="s">
        <v>807</v>
      </c>
      <c r="FT3" s="26">
        <v>1</v>
      </c>
    </row>
    <row r="4" spans="1:176" s="26" customFormat="1" x14ac:dyDescent="0.25">
      <c r="A4" s="26">
        <v>1</v>
      </c>
      <c r="B4" s="26" t="s">
        <v>138</v>
      </c>
      <c r="C4" s="26" t="s">
        <v>139</v>
      </c>
      <c r="D4" s="26">
        <v>2000</v>
      </c>
      <c r="E4" s="26">
        <v>2000</v>
      </c>
      <c r="F4" s="26" t="s">
        <v>140</v>
      </c>
      <c r="G4" s="26" t="s">
        <v>141</v>
      </c>
      <c r="H4" s="26">
        <v>40.71</v>
      </c>
      <c r="I4" s="26">
        <v>-74.010000000000005</v>
      </c>
      <c r="J4" s="26">
        <v>3.5</v>
      </c>
      <c r="P4" s="52" t="s">
        <v>1812</v>
      </c>
      <c r="Q4" s="52"/>
      <c r="R4" s="52"/>
      <c r="S4" s="26" t="s">
        <v>1553</v>
      </c>
      <c r="T4" s="26" t="s">
        <v>1553</v>
      </c>
      <c r="U4" s="26" t="s">
        <v>1553</v>
      </c>
      <c r="V4" s="26" t="s">
        <v>1553</v>
      </c>
      <c r="Z4" s="26" t="s">
        <v>1788</v>
      </c>
      <c r="AE4" s="26" t="s">
        <v>1691</v>
      </c>
      <c r="AF4" s="152" t="s">
        <v>1288</v>
      </c>
      <c r="AG4" s="26" t="s">
        <v>1790</v>
      </c>
      <c r="AH4" s="154" t="s">
        <v>1793</v>
      </c>
      <c r="AR4" s="26" t="s">
        <v>147</v>
      </c>
      <c r="AY4" s="63"/>
      <c r="BD4" s="26">
        <v>4862</v>
      </c>
      <c r="BE4" s="26">
        <f>3990</f>
        <v>3990</v>
      </c>
      <c r="DR4" s="26">
        <v>6.6</v>
      </c>
      <c r="DS4" s="26">
        <v>5.9</v>
      </c>
      <c r="DT4" s="26" t="s">
        <v>148</v>
      </c>
      <c r="EJ4" s="12"/>
      <c r="EL4" s="15"/>
      <c r="FR4" s="26" t="s">
        <v>807</v>
      </c>
      <c r="FT4" s="26">
        <v>1</v>
      </c>
    </row>
    <row r="5" spans="1:176" s="26" customFormat="1" x14ac:dyDescent="0.25">
      <c r="A5" s="26">
        <v>1</v>
      </c>
      <c r="B5" s="26" t="s">
        <v>138</v>
      </c>
      <c r="C5" s="26" t="s">
        <v>139</v>
      </c>
      <c r="D5" s="26">
        <v>2000</v>
      </c>
      <c r="E5" s="26">
        <v>2000</v>
      </c>
      <c r="F5" s="26" t="s">
        <v>140</v>
      </c>
      <c r="G5" s="26" t="s">
        <v>141</v>
      </c>
      <c r="H5" s="26">
        <v>40.71</v>
      </c>
      <c r="I5" s="26">
        <v>-74.010000000000005</v>
      </c>
      <c r="J5" s="26">
        <v>3.5</v>
      </c>
      <c r="P5" s="52" t="s">
        <v>1812</v>
      </c>
      <c r="Q5" s="52"/>
      <c r="R5" s="52"/>
      <c r="S5" s="26" t="s">
        <v>1553</v>
      </c>
      <c r="T5" s="26" t="s">
        <v>1553</v>
      </c>
      <c r="U5" s="26" t="s">
        <v>1553</v>
      </c>
      <c r="V5" s="26" t="s">
        <v>1553</v>
      </c>
      <c r="Z5" s="26" t="s">
        <v>1788</v>
      </c>
      <c r="AE5" s="26" t="s">
        <v>142</v>
      </c>
      <c r="AF5" s="152" t="s">
        <v>666</v>
      </c>
      <c r="AG5" s="26" t="s">
        <v>1790</v>
      </c>
      <c r="AH5" s="154" t="s">
        <v>1793</v>
      </c>
      <c r="AR5" s="26" t="s">
        <v>147</v>
      </c>
      <c r="AY5" s="63"/>
      <c r="DR5" s="26">
        <v>6.6</v>
      </c>
      <c r="DS5" s="26">
        <v>5.7</v>
      </c>
      <c r="DT5" s="26" t="s">
        <v>148</v>
      </c>
      <c r="EJ5" s="12"/>
      <c r="EL5" s="15"/>
      <c r="FR5" s="26" t="s">
        <v>807</v>
      </c>
      <c r="FT5" s="26">
        <v>1</v>
      </c>
    </row>
    <row r="6" spans="1:176" s="26" customFormat="1" x14ac:dyDescent="0.25">
      <c r="A6" s="26">
        <v>1</v>
      </c>
      <c r="B6" s="26" t="s">
        <v>138</v>
      </c>
      <c r="C6" s="26" t="s">
        <v>139</v>
      </c>
      <c r="D6" s="26">
        <v>2000</v>
      </c>
      <c r="E6" s="26">
        <v>2000</v>
      </c>
      <c r="F6" s="26" t="s">
        <v>140</v>
      </c>
      <c r="G6" s="26" t="s">
        <v>141</v>
      </c>
      <c r="H6" s="26">
        <v>40.71</v>
      </c>
      <c r="I6" s="26">
        <v>-74.010000000000005</v>
      </c>
      <c r="J6" s="26">
        <v>3.5</v>
      </c>
      <c r="P6" s="52" t="s">
        <v>1812</v>
      </c>
      <c r="Q6" s="52"/>
      <c r="R6" s="52"/>
      <c r="S6" s="26" t="s">
        <v>1553</v>
      </c>
      <c r="T6" s="26" t="s">
        <v>1553</v>
      </c>
      <c r="U6" s="26" t="s">
        <v>1553</v>
      </c>
      <c r="V6" s="26" t="s">
        <v>1553</v>
      </c>
      <c r="Z6" s="26" t="s">
        <v>1788</v>
      </c>
      <c r="AE6" s="26" t="s">
        <v>143</v>
      </c>
      <c r="AF6" s="152" t="s">
        <v>159</v>
      </c>
      <c r="AG6" s="26" t="s">
        <v>1790</v>
      </c>
      <c r="AH6" s="154" t="s">
        <v>1793</v>
      </c>
      <c r="AR6" s="26" t="s">
        <v>147</v>
      </c>
      <c r="AY6" s="63"/>
      <c r="DR6" s="26">
        <v>6.6</v>
      </c>
      <c r="DS6" s="26">
        <v>5.6</v>
      </c>
      <c r="DT6" s="26" t="s">
        <v>148</v>
      </c>
      <c r="EJ6" s="12"/>
      <c r="EL6" s="15"/>
      <c r="FR6" s="26" t="s">
        <v>807</v>
      </c>
      <c r="FT6" s="26">
        <v>1</v>
      </c>
    </row>
    <row r="7" spans="1:176" s="26" customFormat="1" x14ac:dyDescent="0.25">
      <c r="A7" s="26">
        <v>1</v>
      </c>
      <c r="B7" s="26" t="s">
        <v>138</v>
      </c>
      <c r="C7" s="26" t="s">
        <v>139</v>
      </c>
      <c r="D7" s="26">
        <v>2000</v>
      </c>
      <c r="E7" s="26">
        <v>2000</v>
      </c>
      <c r="F7" s="26" t="s">
        <v>140</v>
      </c>
      <c r="G7" s="26" t="s">
        <v>141</v>
      </c>
      <c r="H7" s="26">
        <v>40.71</v>
      </c>
      <c r="I7" s="26">
        <v>-74.010000000000005</v>
      </c>
      <c r="J7" s="26">
        <v>3.5</v>
      </c>
      <c r="P7" s="52" t="s">
        <v>1812</v>
      </c>
      <c r="Q7" s="52"/>
      <c r="R7" s="52"/>
      <c r="S7" s="26" t="s">
        <v>1553</v>
      </c>
      <c r="T7" s="26" t="s">
        <v>1553</v>
      </c>
      <c r="U7" s="26" t="s">
        <v>1553</v>
      </c>
      <c r="V7" s="26" t="s">
        <v>1553</v>
      </c>
      <c r="Z7" s="26" t="s">
        <v>1788</v>
      </c>
      <c r="AE7" s="26" t="s">
        <v>607</v>
      </c>
      <c r="AF7" s="152" t="s">
        <v>1761</v>
      </c>
      <c r="AG7" s="26" t="s">
        <v>1790</v>
      </c>
      <c r="AH7" s="154" t="s">
        <v>1793</v>
      </c>
      <c r="AR7" s="26" t="s">
        <v>147</v>
      </c>
      <c r="AY7" s="63"/>
      <c r="DR7" s="26">
        <v>6.6</v>
      </c>
      <c r="DS7" s="26">
        <v>5.2</v>
      </c>
      <c r="DT7" s="26" t="s">
        <v>148</v>
      </c>
      <c r="EJ7" s="12"/>
      <c r="EL7" s="15"/>
      <c r="FR7" s="26" t="s">
        <v>807</v>
      </c>
      <c r="FT7" s="26">
        <v>1</v>
      </c>
    </row>
    <row r="8" spans="1:176" s="26" customFormat="1" x14ac:dyDescent="0.25">
      <c r="A8" s="26">
        <v>1</v>
      </c>
      <c r="B8" s="26" t="s">
        <v>138</v>
      </c>
      <c r="C8" s="26" t="s">
        <v>139</v>
      </c>
      <c r="D8" s="26">
        <v>2000</v>
      </c>
      <c r="E8" s="26">
        <v>2000</v>
      </c>
      <c r="F8" s="26" t="s">
        <v>140</v>
      </c>
      <c r="G8" s="26" t="s">
        <v>141</v>
      </c>
      <c r="H8" s="26">
        <v>40.71</v>
      </c>
      <c r="I8" s="26">
        <v>-74.010000000000005</v>
      </c>
      <c r="J8" s="26">
        <v>3.5</v>
      </c>
      <c r="P8" s="52" t="s">
        <v>1812</v>
      </c>
      <c r="Q8" s="52"/>
      <c r="R8" s="52"/>
      <c r="S8" s="26" t="s">
        <v>1553</v>
      </c>
      <c r="T8" s="26" t="s">
        <v>1553</v>
      </c>
      <c r="U8" s="26" t="s">
        <v>1553</v>
      </c>
      <c r="V8" s="26" t="s">
        <v>1553</v>
      </c>
      <c r="Z8" s="26" t="s">
        <v>1788</v>
      </c>
      <c r="AE8" s="26" t="s">
        <v>1692</v>
      </c>
      <c r="AF8" s="152" t="s">
        <v>1761</v>
      </c>
      <c r="AG8" s="26" t="s">
        <v>1790</v>
      </c>
      <c r="AH8" s="154" t="s">
        <v>1793</v>
      </c>
      <c r="AR8" s="26" t="s">
        <v>147</v>
      </c>
      <c r="AY8" s="63"/>
      <c r="DR8" s="26">
        <v>6.6</v>
      </c>
      <c r="DS8" s="26">
        <v>4.9000000000000004</v>
      </c>
      <c r="DT8" s="26" t="s">
        <v>148</v>
      </c>
      <c r="EJ8" s="12"/>
      <c r="EL8" s="15"/>
      <c r="FR8" s="26" t="s">
        <v>807</v>
      </c>
      <c r="FT8" s="26">
        <v>1</v>
      </c>
    </row>
    <row r="9" spans="1:176" s="26" customFormat="1" x14ac:dyDescent="0.25">
      <c r="A9" s="26">
        <v>1</v>
      </c>
      <c r="B9" s="26" t="s">
        <v>138</v>
      </c>
      <c r="C9" s="26" t="s">
        <v>139</v>
      </c>
      <c r="D9" s="26">
        <v>2000</v>
      </c>
      <c r="E9" s="26">
        <v>2000</v>
      </c>
      <c r="F9" s="26" t="s">
        <v>140</v>
      </c>
      <c r="G9" s="26" t="s">
        <v>141</v>
      </c>
      <c r="H9" s="26">
        <v>40.71</v>
      </c>
      <c r="I9" s="26">
        <v>-74.010000000000005</v>
      </c>
      <c r="J9" s="26">
        <v>3.5</v>
      </c>
      <c r="P9" s="52" t="s">
        <v>1812</v>
      </c>
      <c r="Q9" s="52"/>
      <c r="R9" s="52"/>
      <c r="S9" s="26" t="s">
        <v>1553</v>
      </c>
      <c r="T9" s="26" t="s">
        <v>1553</v>
      </c>
      <c r="U9" s="26" t="s">
        <v>1553</v>
      </c>
      <c r="V9" s="26" t="s">
        <v>1553</v>
      </c>
      <c r="Z9" s="26" t="s">
        <v>1788</v>
      </c>
      <c r="AE9" s="26" t="s">
        <v>1693</v>
      </c>
      <c r="AF9" s="152" t="s">
        <v>159</v>
      </c>
      <c r="AG9" s="26" t="s">
        <v>1790</v>
      </c>
      <c r="AH9" s="154" t="s">
        <v>1793</v>
      </c>
      <c r="AR9" s="26" t="s">
        <v>147</v>
      </c>
      <c r="AY9" s="63"/>
      <c r="BD9" s="26">
        <v>4862</v>
      </c>
      <c r="BE9" s="26">
        <v>5240</v>
      </c>
      <c r="DR9" s="26">
        <v>6.6</v>
      </c>
      <c r="DS9" s="26">
        <v>4.7</v>
      </c>
      <c r="DT9" s="26" t="s">
        <v>148</v>
      </c>
      <c r="EJ9" s="12"/>
      <c r="EL9" s="15"/>
      <c r="FR9" s="26" t="s">
        <v>807</v>
      </c>
      <c r="FT9" s="26">
        <v>1</v>
      </c>
    </row>
    <row r="10" spans="1:176" s="26" customFormat="1" x14ac:dyDescent="0.25">
      <c r="A10" s="26">
        <v>1</v>
      </c>
      <c r="B10" s="26" t="s">
        <v>138</v>
      </c>
      <c r="C10" s="26" t="s">
        <v>139</v>
      </c>
      <c r="D10" s="26">
        <v>2000</v>
      </c>
      <c r="E10" s="26">
        <v>2000</v>
      </c>
      <c r="F10" s="26" t="s">
        <v>140</v>
      </c>
      <c r="G10" s="26" t="s">
        <v>141</v>
      </c>
      <c r="H10" s="26">
        <v>40.71</v>
      </c>
      <c r="I10" s="26">
        <v>-74.010000000000005</v>
      </c>
      <c r="J10" s="26">
        <v>3.5</v>
      </c>
      <c r="P10" s="52" t="s">
        <v>1812</v>
      </c>
      <c r="Q10" s="52"/>
      <c r="R10" s="52"/>
      <c r="S10" s="26" t="s">
        <v>1553</v>
      </c>
      <c r="T10" s="26" t="s">
        <v>1553</v>
      </c>
      <c r="U10" s="26" t="s">
        <v>1553</v>
      </c>
      <c r="V10" s="26" t="s">
        <v>1553</v>
      </c>
      <c r="Z10" s="26" t="s">
        <v>1788</v>
      </c>
      <c r="AE10" s="26" t="s">
        <v>144</v>
      </c>
      <c r="AF10" s="152" t="s">
        <v>1761</v>
      </c>
      <c r="AG10" s="26" t="s">
        <v>1790</v>
      </c>
      <c r="AH10" s="154" t="s">
        <v>1793</v>
      </c>
      <c r="AR10" s="26" t="s">
        <v>147</v>
      </c>
      <c r="AY10" s="63"/>
      <c r="DR10" s="26">
        <v>6.6</v>
      </c>
      <c r="DS10" s="26">
        <v>4.5999999999999996</v>
      </c>
      <c r="DT10" s="26" t="s">
        <v>148</v>
      </c>
      <c r="EJ10" s="12"/>
      <c r="EL10" s="15"/>
      <c r="FR10" s="26" t="s">
        <v>807</v>
      </c>
      <c r="FT10" s="26">
        <v>1</v>
      </c>
    </row>
    <row r="11" spans="1:176" s="26" customFormat="1" x14ac:dyDescent="0.25">
      <c r="A11" s="26">
        <v>1</v>
      </c>
      <c r="B11" s="26" t="s">
        <v>138</v>
      </c>
      <c r="C11" s="26" t="s">
        <v>139</v>
      </c>
      <c r="D11" s="26">
        <v>2000</v>
      </c>
      <c r="E11" s="26">
        <v>2000</v>
      </c>
      <c r="F11" s="26" t="s">
        <v>140</v>
      </c>
      <c r="G11" s="26" t="s">
        <v>141</v>
      </c>
      <c r="H11" s="26">
        <v>40.71</v>
      </c>
      <c r="I11" s="26">
        <v>-74.010000000000005</v>
      </c>
      <c r="J11" s="26">
        <v>3.5</v>
      </c>
      <c r="P11" s="52" t="s">
        <v>1812</v>
      </c>
      <c r="Q11" s="52"/>
      <c r="R11" s="52"/>
      <c r="S11" s="26" t="s">
        <v>1553</v>
      </c>
      <c r="T11" s="26" t="s">
        <v>1553</v>
      </c>
      <c r="U11" s="26" t="s">
        <v>1553</v>
      </c>
      <c r="V11" s="26" t="s">
        <v>1553</v>
      </c>
      <c r="Z11" s="26" t="s">
        <v>1788</v>
      </c>
      <c r="AE11" s="26" t="s">
        <v>1694</v>
      </c>
      <c r="AF11" s="152" t="s">
        <v>666</v>
      </c>
      <c r="AG11" s="26" t="s">
        <v>1790</v>
      </c>
      <c r="AH11" s="154" t="s">
        <v>1793</v>
      </c>
      <c r="AR11" s="26" t="s">
        <v>147</v>
      </c>
      <c r="AY11" s="63"/>
      <c r="DR11" s="26">
        <v>6.6</v>
      </c>
      <c r="DS11" s="26">
        <v>4.3</v>
      </c>
      <c r="DT11" s="26" t="s">
        <v>148</v>
      </c>
      <c r="EJ11" s="12"/>
      <c r="EL11" s="15"/>
      <c r="FR11" s="26" t="s">
        <v>807</v>
      </c>
      <c r="FT11" s="26">
        <v>1</v>
      </c>
    </row>
    <row r="12" spans="1:176" s="26" customFormat="1" x14ac:dyDescent="0.25">
      <c r="A12" s="26">
        <v>1</v>
      </c>
      <c r="B12" s="26" t="s">
        <v>138</v>
      </c>
      <c r="C12" s="26" t="s">
        <v>139</v>
      </c>
      <c r="D12" s="26">
        <v>2000</v>
      </c>
      <c r="E12" s="26">
        <v>2000</v>
      </c>
      <c r="F12" s="26" t="s">
        <v>140</v>
      </c>
      <c r="G12" s="26" t="s">
        <v>141</v>
      </c>
      <c r="H12" s="26">
        <v>40.71</v>
      </c>
      <c r="I12" s="26">
        <v>-74.010000000000005</v>
      </c>
      <c r="J12" s="26">
        <v>3.5</v>
      </c>
      <c r="P12" s="52" t="s">
        <v>1812</v>
      </c>
      <c r="Q12" s="52"/>
      <c r="R12" s="52"/>
      <c r="S12" s="26" t="s">
        <v>1553</v>
      </c>
      <c r="T12" s="26" t="s">
        <v>1553</v>
      </c>
      <c r="U12" s="26" t="s">
        <v>1553</v>
      </c>
      <c r="V12" s="26" t="s">
        <v>1553</v>
      </c>
      <c r="Z12" s="26" t="s">
        <v>1788</v>
      </c>
      <c r="AE12" s="26" t="s">
        <v>145</v>
      </c>
      <c r="AF12" s="152" t="s">
        <v>1288</v>
      </c>
      <c r="AG12" s="26" t="s">
        <v>1790</v>
      </c>
      <c r="AH12" s="154" t="s">
        <v>1793</v>
      </c>
      <c r="AR12" s="26" t="s">
        <v>147</v>
      </c>
      <c r="AY12" s="63"/>
      <c r="DR12" s="26">
        <v>6.6</v>
      </c>
      <c r="DS12" s="26">
        <v>3.9</v>
      </c>
      <c r="DT12" s="26" t="s">
        <v>148</v>
      </c>
      <c r="EJ12" s="12"/>
      <c r="EL12" s="15"/>
      <c r="FR12" s="26" t="s">
        <v>807</v>
      </c>
      <c r="FT12" s="26">
        <v>1</v>
      </c>
    </row>
    <row r="13" spans="1:176" s="23" customFormat="1" x14ac:dyDescent="0.25">
      <c r="A13" s="23">
        <v>2</v>
      </c>
      <c r="B13" s="23" t="s">
        <v>153</v>
      </c>
      <c r="C13" s="23" t="s">
        <v>154</v>
      </c>
      <c r="D13" s="23">
        <v>1999</v>
      </c>
      <c r="E13" s="23">
        <v>1994</v>
      </c>
      <c r="F13" s="23" t="s">
        <v>155</v>
      </c>
      <c r="G13" s="23" t="s">
        <v>156</v>
      </c>
      <c r="H13" s="23">
        <v>45.231000000000002</v>
      </c>
      <c r="I13" s="23">
        <v>-122.756</v>
      </c>
      <c r="J13" s="23">
        <v>48.4</v>
      </c>
      <c r="N13" s="23">
        <v>1040</v>
      </c>
      <c r="O13" s="23" t="s">
        <v>161</v>
      </c>
      <c r="P13" s="53">
        <v>6</v>
      </c>
      <c r="Q13" s="53"/>
      <c r="R13" s="53" t="s">
        <v>186</v>
      </c>
      <c r="S13" s="53" t="s">
        <v>1555</v>
      </c>
      <c r="T13" s="53" t="s">
        <v>1555</v>
      </c>
      <c r="U13" s="53" t="s">
        <v>1555</v>
      </c>
      <c r="V13" s="53" t="s">
        <v>1903</v>
      </c>
      <c r="X13" s="23">
        <v>31.3</v>
      </c>
      <c r="Y13" s="23">
        <v>54</v>
      </c>
      <c r="Z13" s="23" t="s">
        <v>531</v>
      </c>
      <c r="AD13" s="23" t="s">
        <v>1468</v>
      </c>
      <c r="AE13" s="23" t="s">
        <v>159</v>
      </c>
      <c r="AF13" s="152" t="s">
        <v>159</v>
      </c>
      <c r="AG13" s="23" t="s">
        <v>1789</v>
      </c>
      <c r="AH13" s="155" t="s">
        <v>1793</v>
      </c>
      <c r="AI13" s="23" t="s">
        <v>158</v>
      </c>
      <c r="AJ13" s="23" t="s">
        <v>158</v>
      </c>
      <c r="AK13" s="23" t="s">
        <v>212</v>
      </c>
      <c r="AO13" s="23" t="s">
        <v>702</v>
      </c>
      <c r="AP13" s="23" t="s">
        <v>702</v>
      </c>
      <c r="AR13" s="23" t="s">
        <v>147</v>
      </c>
      <c r="AS13" s="23">
        <v>2</v>
      </c>
      <c r="AT13" s="23">
        <v>2</v>
      </c>
      <c r="AU13" s="23" t="s">
        <v>169</v>
      </c>
      <c r="AY13" s="64"/>
      <c r="BJ13" s="23">
        <v>3.93</v>
      </c>
      <c r="BK13" s="23">
        <v>3.43</v>
      </c>
      <c r="BL13" s="23" t="s">
        <v>184</v>
      </c>
      <c r="BM13" s="23">
        <v>971</v>
      </c>
      <c r="BN13" s="23">
        <v>947</v>
      </c>
      <c r="BO13" s="23" t="s">
        <v>272</v>
      </c>
      <c r="BV13" s="23">
        <v>5.75</v>
      </c>
      <c r="BW13" s="23">
        <v>5.83</v>
      </c>
      <c r="BY13" s="23">
        <v>15.6</v>
      </c>
      <c r="BZ13" s="23">
        <v>15.2</v>
      </c>
      <c r="EJ13" s="12"/>
      <c r="EL13" s="15"/>
      <c r="FH13" s="23">
        <v>140</v>
      </c>
      <c r="FI13" s="23">
        <v>177</v>
      </c>
      <c r="FT13" s="23">
        <v>2</v>
      </c>
    </row>
    <row r="14" spans="1:176" s="23" customFormat="1" x14ac:dyDescent="0.25">
      <c r="A14" s="23">
        <v>2</v>
      </c>
      <c r="B14" s="23" t="s">
        <v>153</v>
      </c>
      <c r="C14" s="23" t="s">
        <v>154</v>
      </c>
      <c r="D14" s="23">
        <v>1999</v>
      </c>
      <c r="E14" s="23">
        <v>1994</v>
      </c>
      <c r="F14" s="23" t="s">
        <v>155</v>
      </c>
      <c r="G14" s="23" t="s">
        <v>156</v>
      </c>
      <c r="H14" s="23">
        <v>45.231000000000002</v>
      </c>
      <c r="I14" s="23">
        <v>-122.756</v>
      </c>
      <c r="J14" s="23">
        <v>48.4</v>
      </c>
      <c r="N14" s="23">
        <v>1040</v>
      </c>
      <c r="O14" s="23" t="s">
        <v>161</v>
      </c>
      <c r="P14" s="53">
        <v>6</v>
      </c>
      <c r="Q14" s="53"/>
      <c r="R14" s="53" t="s">
        <v>186</v>
      </c>
      <c r="S14" s="53" t="s">
        <v>1555</v>
      </c>
      <c r="T14" s="53" t="s">
        <v>1555</v>
      </c>
      <c r="U14" s="53" t="s">
        <v>1555</v>
      </c>
      <c r="V14" s="53" t="s">
        <v>1903</v>
      </c>
      <c r="X14" s="23">
        <v>31.3</v>
      </c>
      <c r="Y14" s="23">
        <v>54</v>
      </c>
      <c r="Z14" s="23" t="s">
        <v>531</v>
      </c>
      <c r="AD14" s="23" t="s">
        <v>1468</v>
      </c>
      <c r="AE14" s="23" t="s">
        <v>1695</v>
      </c>
      <c r="AF14" s="152" t="s">
        <v>666</v>
      </c>
      <c r="AG14" s="23" t="s">
        <v>1789</v>
      </c>
      <c r="AH14" s="155" t="s">
        <v>1793</v>
      </c>
      <c r="AI14" s="23" t="s">
        <v>158</v>
      </c>
      <c r="AJ14" s="23" t="s">
        <v>158</v>
      </c>
      <c r="AK14" s="23" t="s">
        <v>212</v>
      </c>
      <c r="AO14" s="23" t="s">
        <v>702</v>
      </c>
      <c r="AP14" s="23" t="s">
        <v>702</v>
      </c>
      <c r="AR14" s="23" t="s">
        <v>147</v>
      </c>
      <c r="AS14" s="23">
        <v>2</v>
      </c>
      <c r="AT14" s="23">
        <v>2</v>
      </c>
      <c r="AU14" s="23" t="s">
        <v>169</v>
      </c>
      <c r="AY14" s="64"/>
      <c r="BJ14" s="23">
        <v>3.93</v>
      </c>
      <c r="BK14" s="23">
        <v>4.13</v>
      </c>
      <c r="BL14" s="23" t="s">
        <v>184</v>
      </c>
      <c r="BM14" s="23">
        <v>971</v>
      </c>
      <c r="BN14" s="23">
        <v>1120</v>
      </c>
      <c r="BO14" s="23" t="s">
        <v>272</v>
      </c>
      <c r="BV14" s="23">
        <v>5.75</v>
      </c>
      <c r="BW14" s="23">
        <v>5.9</v>
      </c>
      <c r="BY14" s="23">
        <v>15.6</v>
      </c>
      <c r="BZ14" s="23">
        <v>15</v>
      </c>
      <c r="EJ14" s="12"/>
      <c r="EL14" s="15"/>
      <c r="FH14" s="23">
        <v>140</v>
      </c>
      <c r="FI14" s="23">
        <v>158</v>
      </c>
      <c r="FT14" s="23">
        <v>2</v>
      </c>
    </row>
    <row r="15" spans="1:176" s="35" customFormat="1" x14ac:dyDescent="0.25">
      <c r="A15" s="35">
        <v>3</v>
      </c>
      <c r="B15" s="35" t="s">
        <v>163</v>
      </c>
      <c r="C15" s="35" t="s">
        <v>164</v>
      </c>
      <c r="D15" s="35">
        <v>2008</v>
      </c>
      <c r="E15" s="35">
        <v>2003</v>
      </c>
      <c r="F15" s="35" t="s">
        <v>165</v>
      </c>
      <c r="G15" s="35" t="s">
        <v>166</v>
      </c>
      <c r="H15" s="35">
        <v>49.69</v>
      </c>
      <c r="I15" s="35">
        <v>-112.84</v>
      </c>
      <c r="J15" s="35">
        <v>901</v>
      </c>
      <c r="P15" s="54">
        <v>1</v>
      </c>
      <c r="Q15" s="54"/>
      <c r="R15" s="54"/>
      <c r="S15" s="54" t="s">
        <v>1553</v>
      </c>
      <c r="T15" s="54" t="s">
        <v>1553</v>
      </c>
      <c r="U15" s="54" t="s">
        <v>1553</v>
      </c>
      <c r="V15" s="54" t="s">
        <v>1553</v>
      </c>
      <c r="X15" s="35">
        <v>37</v>
      </c>
      <c r="Y15" s="35">
        <v>30</v>
      </c>
      <c r="Z15" s="35" t="s">
        <v>167</v>
      </c>
      <c r="AD15" s="35" t="s">
        <v>1470</v>
      </c>
      <c r="AE15" s="35" t="s">
        <v>1741</v>
      </c>
      <c r="AF15" s="152" t="s">
        <v>159</v>
      </c>
      <c r="AG15" s="35" t="s">
        <v>1775</v>
      </c>
      <c r="AH15" s="154" t="s">
        <v>1797</v>
      </c>
      <c r="AR15" s="35" t="s">
        <v>147</v>
      </c>
      <c r="AS15" s="35">
        <v>4</v>
      </c>
      <c r="AT15" s="35">
        <v>4</v>
      </c>
      <c r="AU15" s="35" t="s">
        <v>169</v>
      </c>
      <c r="AV15" s="35">
        <v>5520</v>
      </c>
      <c r="AY15" s="63"/>
      <c r="AZ15" s="35" t="s">
        <v>172</v>
      </c>
      <c r="BD15" s="35">
        <v>16400</v>
      </c>
      <c r="BE15" s="35">
        <v>23300</v>
      </c>
      <c r="DO15" s="35">
        <v>17250</v>
      </c>
      <c r="DP15" s="35">
        <v>7310</v>
      </c>
      <c r="EJ15" s="12"/>
      <c r="EL15" s="15"/>
      <c r="FT15" s="35">
        <v>3</v>
      </c>
    </row>
    <row r="16" spans="1:176" s="35" customFormat="1" x14ac:dyDescent="0.25">
      <c r="A16" s="35">
        <v>3</v>
      </c>
      <c r="B16" s="35" t="s">
        <v>163</v>
      </c>
      <c r="C16" s="35" t="s">
        <v>164</v>
      </c>
      <c r="D16" s="35">
        <v>2008</v>
      </c>
      <c r="E16" s="35">
        <v>2003</v>
      </c>
      <c r="F16" s="35" t="s">
        <v>165</v>
      </c>
      <c r="G16" s="35" t="s">
        <v>166</v>
      </c>
      <c r="H16" s="35">
        <v>49.69</v>
      </c>
      <c r="I16" s="35">
        <v>-112.84</v>
      </c>
      <c r="J16" s="35">
        <v>901</v>
      </c>
      <c r="P16" s="54">
        <v>1</v>
      </c>
      <c r="Q16" s="54"/>
      <c r="R16" s="54"/>
      <c r="S16" s="54" t="s">
        <v>1553</v>
      </c>
      <c r="T16" s="54" t="s">
        <v>1553</v>
      </c>
      <c r="U16" s="54" t="s">
        <v>1553</v>
      </c>
      <c r="V16" s="54" t="s">
        <v>1553</v>
      </c>
      <c r="X16" s="35">
        <v>37</v>
      </c>
      <c r="Y16" s="35">
        <v>30</v>
      </c>
      <c r="Z16" s="35" t="s">
        <v>167</v>
      </c>
      <c r="AD16" s="35" t="s">
        <v>1470</v>
      </c>
      <c r="AE16" s="35" t="s">
        <v>1750</v>
      </c>
      <c r="AF16" s="152" t="s">
        <v>1761</v>
      </c>
      <c r="AG16" s="35" t="s">
        <v>1775</v>
      </c>
      <c r="AH16" s="154" t="s">
        <v>1797</v>
      </c>
      <c r="AR16" s="35" t="s">
        <v>147</v>
      </c>
      <c r="AS16" s="35">
        <v>4</v>
      </c>
      <c r="AT16" s="35">
        <v>4</v>
      </c>
      <c r="AU16" s="35" t="s">
        <v>169</v>
      </c>
      <c r="AV16" s="35">
        <v>1320</v>
      </c>
      <c r="AY16" s="63"/>
      <c r="AZ16" s="35" t="s">
        <v>172</v>
      </c>
      <c r="BD16" s="35">
        <v>16400</v>
      </c>
      <c r="BE16" s="35">
        <v>19800</v>
      </c>
      <c r="DO16" s="35">
        <v>17250</v>
      </c>
      <c r="DP16" s="35">
        <v>12510</v>
      </c>
      <c r="EJ16" s="12"/>
      <c r="EL16" s="15"/>
      <c r="FT16" s="35">
        <v>3</v>
      </c>
    </row>
    <row r="17" spans="1:176" s="35" customFormat="1" x14ac:dyDescent="0.25">
      <c r="A17" s="35">
        <v>3</v>
      </c>
      <c r="B17" s="35" t="s">
        <v>163</v>
      </c>
      <c r="C17" s="35" t="s">
        <v>164</v>
      </c>
      <c r="D17" s="35">
        <v>2008</v>
      </c>
      <c r="E17" s="35">
        <v>2003</v>
      </c>
      <c r="F17" s="35" t="s">
        <v>165</v>
      </c>
      <c r="G17" s="35" t="s">
        <v>166</v>
      </c>
      <c r="H17" s="35">
        <v>49.69</v>
      </c>
      <c r="I17" s="35">
        <v>-112.84</v>
      </c>
      <c r="J17" s="35">
        <v>901</v>
      </c>
      <c r="P17" s="54">
        <v>1</v>
      </c>
      <c r="Q17" s="54"/>
      <c r="R17" s="54"/>
      <c r="S17" s="54" t="s">
        <v>1553</v>
      </c>
      <c r="T17" s="54" t="s">
        <v>1553</v>
      </c>
      <c r="U17" s="54" t="s">
        <v>1553</v>
      </c>
      <c r="V17" s="54" t="s">
        <v>1553</v>
      </c>
      <c r="X17" s="35">
        <v>37</v>
      </c>
      <c r="Y17" s="35">
        <v>30</v>
      </c>
      <c r="Z17" s="35" t="s">
        <v>167</v>
      </c>
      <c r="AD17" s="35" t="s">
        <v>1470</v>
      </c>
      <c r="AE17" s="35" t="s">
        <v>1751</v>
      </c>
      <c r="AF17" s="152" t="s">
        <v>1761</v>
      </c>
      <c r="AG17" s="35" t="s">
        <v>1775</v>
      </c>
      <c r="AH17" s="154" t="s">
        <v>1797</v>
      </c>
      <c r="AR17" s="35" t="s">
        <v>147</v>
      </c>
      <c r="AS17" s="35">
        <v>4</v>
      </c>
      <c r="AT17" s="35">
        <v>4</v>
      </c>
      <c r="AU17" s="35" t="s">
        <v>169</v>
      </c>
      <c r="AV17" s="35">
        <v>1170</v>
      </c>
      <c r="AY17" s="63"/>
      <c r="AZ17" s="35" t="s">
        <v>172</v>
      </c>
      <c r="BD17" s="35">
        <v>16400</v>
      </c>
      <c r="BE17" s="35">
        <v>19600</v>
      </c>
      <c r="DO17" s="35">
        <v>17250</v>
      </c>
      <c r="DP17" s="35">
        <v>12180</v>
      </c>
      <c r="EJ17" s="12"/>
      <c r="EL17" s="15"/>
      <c r="FT17" s="35">
        <v>3</v>
      </c>
    </row>
    <row r="18" spans="1:176" s="35" customFormat="1" x14ac:dyDescent="0.25">
      <c r="A18" s="35">
        <v>3</v>
      </c>
      <c r="B18" s="35" t="s">
        <v>163</v>
      </c>
      <c r="C18" s="35" t="s">
        <v>164</v>
      </c>
      <c r="D18" s="35">
        <v>2008</v>
      </c>
      <c r="E18" s="35">
        <v>2003</v>
      </c>
      <c r="F18" s="35" t="s">
        <v>165</v>
      </c>
      <c r="G18" s="35" t="s">
        <v>166</v>
      </c>
      <c r="H18" s="35">
        <v>49.69</v>
      </c>
      <c r="I18" s="35">
        <v>-112.84</v>
      </c>
      <c r="J18" s="35">
        <v>901</v>
      </c>
      <c r="P18" s="54">
        <v>1</v>
      </c>
      <c r="Q18" s="54"/>
      <c r="R18" s="54"/>
      <c r="S18" s="54" t="s">
        <v>1553</v>
      </c>
      <c r="T18" s="54" t="s">
        <v>1553</v>
      </c>
      <c r="U18" s="54" t="s">
        <v>1553</v>
      </c>
      <c r="V18" s="54" t="s">
        <v>1553</v>
      </c>
      <c r="X18" s="35">
        <v>37</v>
      </c>
      <c r="Y18" s="35">
        <v>30</v>
      </c>
      <c r="Z18" s="35" t="s">
        <v>167</v>
      </c>
      <c r="AD18" s="35" t="s">
        <v>1470</v>
      </c>
      <c r="AE18" s="35" t="s">
        <v>1742</v>
      </c>
      <c r="AF18" s="152" t="s">
        <v>159</v>
      </c>
      <c r="AG18" s="35" t="s">
        <v>1775</v>
      </c>
      <c r="AH18" s="154" t="s">
        <v>1797</v>
      </c>
      <c r="AR18" s="35" t="s">
        <v>147</v>
      </c>
      <c r="AS18" s="35">
        <v>4</v>
      </c>
      <c r="AT18" s="35">
        <v>4</v>
      </c>
      <c r="AU18" s="35" t="s">
        <v>169</v>
      </c>
      <c r="AV18" s="35">
        <v>1480</v>
      </c>
      <c r="AY18" s="63"/>
      <c r="AZ18" s="35" t="s">
        <v>172</v>
      </c>
      <c r="BD18" s="35">
        <v>16400</v>
      </c>
      <c r="BE18" s="35">
        <v>21400</v>
      </c>
      <c r="DO18" s="35">
        <v>17250</v>
      </c>
      <c r="DP18" s="35">
        <v>11460</v>
      </c>
      <c r="EJ18" s="12"/>
      <c r="EL18" s="15"/>
      <c r="FT18" s="35">
        <v>3</v>
      </c>
    </row>
    <row r="19" spans="1:176" s="35" customFormat="1" x14ac:dyDescent="0.25">
      <c r="A19" s="35">
        <v>3</v>
      </c>
      <c r="B19" s="35" t="s">
        <v>163</v>
      </c>
      <c r="C19" s="35" t="s">
        <v>164</v>
      </c>
      <c r="D19" s="35">
        <v>2008</v>
      </c>
      <c r="E19" s="35">
        <v>2003</v>
      </c>
      <c r="F19" s="35" t="s">
        <v>165</v>
      </c>
      <c r="G19" s="35" t="s">
        <v>166</v>
      </c>
      <c r="H19" s="35">
        <v>49.69</v>
      </c>
      <c r="I19" s="35">
        <v>-112.84</v>
      </c>
      <c r="J19" s="35">
        <v>901</v>
      </c>
      <c r="P19" s="54">
        <v>1</v>
      </c>
      <c r="Q19" s="54"/>
      <c r="R19" s="54"/>
      <c r="S19" s="54" t="s">
        <v>1553</v>
      </c>
      <c r="T19" s="54" t="s">
        <v>1553</v>
      </c>
      <c r="U19" s="54" t="s">
        <v>1553</v>
      </c>
      <c r="V19" s="54" t="s">
        <v>1553</v>
      </c>
      <c r="X19" s="35">
        <v>37</v>
      </c>
      <c r="Y19" s="35">
        <v>30</v>
      </c>
      <c r="Z19" s="35" t="s">
        <v>167</v>
      </c>
      <c r="AD19" s="35" t="s">
        <v>1470</v>
      </c>
      <c r="AE19" s="35" t="s">
        <v>1746</v>
      </c>
      <c r="AF19" s="152" t="s">
        <v>1761</v>
      </c>
      <c r="AG19" s="35" t="s">
        <v>1775</v>
      </c>
      <c r="AH19" s="154" t="s">
        <v>1797</v>
      </c>
      <c r="AR19" s="35" t="s">
        <v>147</v>
      </c>
      <c r="AS19" s="35">
        <v>4</v>
      </c>
      <c r="AT19" s="35">
        <v>4</v>
      </c>
      <c r="AU19" s="35" t="s">
        <v>169</v>
      </c>
      <c r="AV19" s="35">
        <v>690</v>
      </c>
      <c r="AY19" s="63"/>
      <c r="AZ19" s="35" t="s">
        <v>172</v>
      </c>
      <c r="BD19" s="35">
        <v>16400</v>
      </c>
      <c r="BE19" s="35">
        <v>18000</v>
      </c>
      <c r="DO19" s="35">
        <v>17250</v>
      </c>
      <c r="DP19" s="35">
        <v>15440</v>
      </c>
      <c r="EJ19" s="12"/>
      <c r="EL19" s="15"/>
      <c r="FT19" s="35">
        <v>3</v>
      </c>
    </row>
    <row r="20" spans="1:176" s="35" customFormat="1" x14ac:dyDescent="0.25">
      <c r="A20" s="35">
        <v>3</v>
      </c>
      <c r="B20" s="35" t="s">
        <v>163</v>
      </c>
      <c r="C20" s="35" t="s">
        <v>164</v>
      </c>
      <c r="D20" s="35">
        <v>2008</v>
      </c>
      <c r="E20" s="35">
        <v>2003</v>
      </c>
      <c r="F20" s="35" t="s">
        <v>165</v>
      </c>
      <c r="G20" s="35" t="s">
        <v>166</v>
      </c>
      <c r="H20" s="35">
        <v>49.69</v>
      </c>
      <c r="I20" s="35">
        <v>-112.84</v>
      </c>
      <c r="J20" s="35">
        <v>901</v>
      </c>
      <c r="P20" s="54">
        <v>1</v>
      </c>
      <c r="Q20" s="54"/>
      <c r="R20" s="54"/>
      <c r="S20" s="54" t="s">
        <v>1553</v>
      </c>
      <c r="T20" s="54" t="s">
        <v>1553</v>
      </c>
      <c r="U20" s="54" t="s">
        <v>1553</v>
      </c>
      <c r="V20" s="54" t="s">
        <v>1553</v>
      </c>
      <c r="X20" s="35">
        <v>37</v>
      </c>
      <c r="Y20" s="35">
        <v>30</v>
      </c>
      <c r="Z20" s="35" t="s">
        <v>167</v>
      </c>
      <c r="AD20" s="35" t="s">
        <v>1470</v>
      </c>
      <c r="AE20" s="35" t="s">
        <v>1747</v>
      </c>
      <c r="AF20" s="152" t="s">
        <v>1761</v>
      </c>
      <c r="AG20" s="35" t="s">
        <v>1775</v>
      </c>
      <c r="AH20" s="154" t="s">
        <v>1797</v>
      </c>
      <c r="AR20" s="35" t="s">
        <v>147</v>
      </c>
      <c r="AS20" s="35">
        <v>4</v>
      </c>
      <c r="AT20" s="35">
        <v>4</v>
      </c>
      <c r="AU20" s="35" t="s">
        <v>169</v>
      </c>
      <c r="AV20" s="35">
        <v>400</v>
      </c>
      <c r="AY20" s="63"/>
      <c r="AZ20" s="35" t="s">
        <v>172</v>
      </c>
      <c r="BD20" s="35">
        <v>16400</v>
      </c>
      <c r="BE20" s="35">
        <v>19100</v>
      </c>
      <c r="DO20" s="35">
        <v>17250</v>
      </c>
      <c r="DP20" s="35">
        <v>12600</v>
      </c>
      <c r="EJ20" s="12"/>
      <c r="EL20" s="15"/>
      <c r="FT20" s="35">
        <v>3</v>
      </c>
    </row>
    <row r="21" spans="1:176" s="35" customFormat="1" x14ac:dyDescent="0.25">
      <c r="A21" s="35">
        <v>3</v>
      </c>
      <c r="B21" s="35" t="s">
        <v>163</v>
      </c>
      <c r="C21" s="35" t="s">
        <v>164</v>
      </c>
      <c r="D21" s="35">
        <v>2008</v>
      </c>
      <c r="E21" s="35">
        <v>2003</v>
      </c>
      <c r="F21" s="35" t="s">
        <v>165</v>
      </c>
      <c r="G21" s="35" t="s">
        <v>166</v>
      </c>
      <c r="H21" s="35">
        <v>49.69</v>
      </c>
      <c r="I21" s="35">
        <v>-112.84</v>
      </c>
      <c r="J21" s="35">
        <v>901</v>
      </c>
      <c r="P21" s="54">
        <v>1</v>
      </c>
      <c r="Q21" s="54"/>
      <c r="R21" s="54"/>
      <c r="S21" s="54" t="s">
        <v>1553</v>
      </c>
      <c r="T21" s="54" t="s">
        <v>1553</v>
      </c>
      <c r="U21" s="54" t="s">
        <v>1553</v>
      </c>
      <c r="V21" s="54" t="s">
        <v>1553</v>
      </c>
      <c r="X21" s="35">
        <v>37</v>
      </c>
      <c r="Y21" s="35">
        <v>30</v>
      </c>
      <c r="Z21" s="35" t="s">
        <v>167</v>
      </c>
      <c r="AD21" s="35" t="s">
        <v>1470</v>
      </c>
      <c r="AE21" s="35" t="s">
        <v>1740</v>
      </c>
      <c r="AF21" s="152" t="s">
        <v>159</v>
      </c>
      <c r="AG21" s="35" t="s">
        <v>1775</v>
      </c>
      <c r="AH21" s="154" t="s">
        <v>1797</v>
      </c>
      <c r="AR21" s="35" t="s">
        <v>147</v>
      </c>
      <c r="AS21" s="35">
        <v>4</v>
      </c>
      <c r="AT21" s="35">
        <v>4</v>
      </c>
      <c r="AU21" s="35" t="s">
        <v>169</v>
      </c>
      <c r="AV21" s="35">
        <v>470</v>
      </c>
      <c r="AY21" s="63"/>
      <c r="AZ21" s="35" t="s">
        <v>172</v>
      </c>
      <c r="BD21" s="35">
        <v>16400</v>
      </c>
      <c r="BE21" s="35">
        <v>18700</v>
      </c>
      <c r="DO21" s="35">
        <v>17250</v>
      </c>
      <c r="DP21" s="35">
        <v>14400</v>
      </c>
      <c r="EJ21" s="12"/>
      <c r="EL21" s="15"/>
      <c r="FT21" s="35">
        <v>3</v>
      </c>
    </row>
    <row r="22" spans="1:176" s="35" customFormat="1" x14ac:dyDescent="0.25">
      <c r="A22" s="35">
        <v>3</v>
      </c>
      <c r="B22" s="35" t="s">
        <v>163</v>
      </c>
      <c r="C22" s="35" t="s">
        <v>164</v>
      </c>
      <c r="D22" s="35">
        <v>2008</v>
      </c>
      <c r="E22" s="35">
        <v>2004</v>
      </c>
      <c r="F22" s="35" t="s">
        <v>165</v>
      </c>
      <c r="G22" s="35" t="s">
        <v>166</v>
      </c>
      <c r="H22" s="35">
        <v>49.69</v>
      </c>
      <c r="I22" s="35">
        <v>-112.84</v>
      </c>
      <c r="J22" s="35">
        <v>901</v>
      </c>
      <c r="P22" s="54">
        <v>2</v>
      </c>
      <c r="Q22" s="54"/>
      <c r="R22" s="54"/>
      <c r="S22" s="54" t="s">
        <v>1553</v>
      </c>
      <c r="T22" s="54" t="s">
        <v>1553</v>
      </c>
      <c r="U22" s="54" t="s">
        <v>1553</v>
      </c>
      <c r="V22" s="54" t="s">
        <v>1553</v>
      </c>
      <c r="X22" s="35">
        <v>37</v>
      </c>
      <c r="Y22" s="35">
        <v>30</v>
      </c>
      <c r="Z22" s="35" t="s">
        <v>167</v>
      </c>
      <c r="AD22" s="35" t="s">
        <v>1470</v>
      </c>
      <c r="AE22" s="35" t="s">
        <v>1741</v>
      </c>
      <c r="AF22" s="152" t="s">
        <v>159</v>
      </c>
      <c r="AG22" s="35" t="s">
        <v>1775</v>
      </c>
      <c r="AH22" s="154" t="s">
        <v>1797</v>
      </c>
      <c r="AR22" s="35" t="s">
        <v>147</v>
      </c>
      <c r="AS22" s="35">
        <v>4</v>
      </c>
      <c r="AT22" s="35">
        <v>4</v>
      </c>
      <c r="AU22" s="35" t="s">
        <v>169</v>
      </c>
      <c r="AV22" s="35">
        <v>6320</v>
      </c>
      <c r="AY22" s="63"/>
      <c r="AZ22" s="35" t="s">
        <v>172</v>
      </c>
      <c r="BD22" s="35">
        <v>11200</v>
      </c>
      <c r="BE22" s="35">
        <v>15100</v>
      </c>
      <c r="DO22" s="35">
        <v>14530</v>
      </c>
      <c r="DP22" s="35">
        <v>6600</v>
      </c>
      <c r="EJ22" s="12"/>
      <c r="EL22" s="15"/>
      <c r="FT22" s="35">
        <v>3</v>
      </c>
    </row>
    <row r="23" spans="1:176" s="35" customFormat="1" x14ac:dyDescent="0.25">
      <c r="A23" s="35">
        <v>3</v>
      </c>
      <c r="B23" s="35" t="s">
        <v>163</v>
      </c>
      <c r="C23" s="35" t="s">
        <v>164</v>
      </c>
      <c r="D23" s="35">
        <v>2008</v>
      </c>
      <c r="E23" s="35">
        <v>2004</v>
      </c>
      <c r="F23" s="35" t="s">
        <v>165</v>
      </c>
      <c r="G23" s="35" t="s">
        <v>166</v>
      </c>
      <c r="H23" s="35">
        <v>49.69</v>
      </c>
      <c r="I23" s="35">
        <v>-112.84</v>
      </c>
      <c r="J23" s="35">
        <v>901</v>
      </c>
      <c r="P23" s="54">
        <v>2</v>
      </c>
      <c r="Q23" s="54"/>
      <c r="R23" s="54"/>
      <c r="S23" s="54" t="s">
        <v>1553</v>
      </c>
      <c r="T23" s="54" t="s">
        <v>1553</v>
      </c>
      <c r="U23" s="54" t="s">
        <v>1553</v>
      </c>
      <c r="V23" s="54" t="s">
        <v>1553</v>
      </c>
      <c r="X23" s="35">
        <v>37</v>
      </c>
      <c r="Y23" s="35">
        <v>30</v>
      </c>
      <c r="Z23" s="35" t="s">
        <v>167</v>
      </c>
      <c r="AD23" s="35" t="s">
        <v>1470</v>
      </c>
      <c r="AE23" s="35" t="s">
        <v>1750</v>
      </c>
      <c r="AF23" s="152" t="s">
        <v>1761</v>
      </c>
      <c r="AG23" s="35" t="s">
        <v>1775</v>
      </c>
      <c r="AH23" s="154" t="s">
        <v>1797</v>
      </c>
      <c r="AR23" s="35" t="s">
        <v>147</v>
      </c>
      <c r="AS23" s="35">
        <v>4</v>
      </c>
      <c r="AT23" s="35">
        <v>4</v>
      </c>
      <c r="AU23" s="35" t="s">
        <v>169</v>
      </c>
      <c r="AV23" s="35">
        <v>990</v>
      </c>
      <c r="AY23" s="63"/>
      <c r="AZ23" s="35" t="s">
        <v>172</v>
      </c>
      <c r="BD23" s="35">
        <v>11200</v>
      </c>
      <c r="BE23" s="35">
        <v>12700</v>
      </c>
      <c r="DO23" s="35">
        <v>14530</v>
      </c>
      <c r="DP23" s="35">
        <v>11830</v>
      </c>
      <c r="EJ23" s="12"/>
      <c r="EL23" s="15"/>
      <c r="FT23" s="35">
        <v>3</v>
      </c>
    </row>
    <row r="24" spans="1:176" s="35" customFormat="1" x14ac:dyDescent="0.25">
      <c r="A24" s="35">
        <v>3</v>
      </c>
      <c r="B24" s="35" t="s">
        <v>163</v>
      </c>
      <c r="C24" s="35" t="s">
        <v>164</v>
      </c>
      <c r="D24" s="35">
        <v>2008</v>
      </c>
      <c r="E24" s="35">
        <v>2004</v>
      </c>
      <c r="F24" s="35" t="s">
        <v>165</v>
      </c>
      <c r="G24" s="35" t="s">
        <v>166</v>
      </c>
      <c r="H24" s="35">
        <v>49.69</v>
      </c>
      <c r="I24" s="35">
        <v>-112.84</v>
      </c>
      <c r="J24" s="35">
        <v>901</v>
      </c>
      <c r="P24" s="54">
        <v>2</v>
      </c>
      <c r="Q24" s="54"/>
      <c r="R24" s="54"/>
      <c r="S24" s="54" t="s">
        <v>1553</v>
      </c>
      <c r="T24" s="54" t="s">
        <v>1553</v>
      </c>
      <c r="U24" s="54" t="s">
        <v>1553</v>
      </c>
      <c r="V24" s="54" t="s">
        <v>1553</v>
      </c>
      <c r="X24" s="35">
        <v>37</v>
      </c>
      <c r="Y24" s="35">
        <v>30</v>
      </c>
      <c r="Z24" s="35" t="s">
        <v>167</v>
      </c>
      <c r="AD24" s="35" t="s">
        <v>1470</v>
      </c>
      <c r="AE24" s="35" t="s">
        <v>1751</v>
      </c>
      <c r="AF24" s="152" t="s">
        <v>1761</v>
      </c>
      <c r="AG24" s="35" t="s">
        <v>1775</v>
      </c>
      <c r="AH24" s="154" t="s">
        <v>1797</v>
      </c>
      <c r="AR24" s="35" t="s">
        <v>147</v>
      </c>
      <c r="AS24" s="35">
        <v>4</v>
      </c>
      <c r="AT24" s="35">
        <v>4</v>
      </c>
      <c r="AU24" s="35" t="s">
        <v>169</v>
      </c>
      <c r="AV24" s="35">
        <v>1070</v>
      </c>
      <c r="AY24" s="63"/>
      <c r="AZ24" s="35" t="s">
        <v>172</v>
      </c>
      <c r="BD24" s="35">
        <v>11200</v>
      </c>
      <c r="BE24" s="35">
        <v>13600</v>
      </c>
      <c r="DO24" s="35">
        <v>14530</v>
      </c>
      <c r="DP24" s="35">
        <v>10700</v>
      </c>
      <c r="EJ24" s="12"/>
      <c r="EL24" s="15"/>
      <c r="FT24" s="35">
        <v>3</v>
      </c>
    </row>
    <row r="25" spans="1:176" s="35" customFormat="1" x14ac:dyDescent="0.25">
      <c r="A25" s="35">
        <v>3</v>
      </c>
      <c r="B25" s="35" t="s">
        <v>163</v>
      </c>
      <c r="C25" s="35" t="s">
        <v>164</v>
      </c>
      <c r="D25" s="35">
        <v>2008</v>
      </c>
      <c r="E25" s="35">
        <v>2004</v>
      </c>
      <c r="F25" s="35" t="s">
        <v>165</v>
      </c>
      <c r="G25" s="35" t="s">
        <v>166</v>
      </c>
      <c r="H25" s="35">
        <v>49.69</v>
      </c>
      <c r="I25" s="35">
        <v>-112.84</v>
      </c>
      <c r="J25" s="35">
        <v>901</v>
      </c>
      <c r="P25" s="54">
        <v>2</v>
      </c>
      <c r="Q25" s="54"/>
      <c r="R25" s="54"/>
      <c r="S25" s="54" t="s">
        <v>1553</v>
      </c>
      <c r="T25" s="54" t="s">
        <v>1553</v>
      </c>
      <c r="U25" s="54" t="s">
        <v>1553</v>
      </c>
      <c r="V25" s="54" t="s">
        <v>1553</v>
      </c>
      <c r="X25" s="35">
        <v>37</v>
      </c>
      <c r="Y25" s="35">
        <v>30</v>
      </c>
      <c r="Z25" s="35" t="s">
        <v>167</v>
      </c>
      <c r="AD25" s="35" t="s">
        <v>1470</v>
      </c>
      <c r="AE25" s="35" t="s">
        <v>1742</v>
      </c>
      <c r="AF25" s="152" t="s">
        <v>159</v>
      </c>
      <c r="AG25" s="35" t="s">
        <v>1775</v>
      </c>
      <c r="AH25" s="154" t="s">
        <v>1797</v>
      </c>
      <c r="AR25" s="35" t="s">
        <v>147</v>
      </c>
      <c r="AS25" s="35">
        <v>4</v>
      </c>
      <c r="AT25" s="35">
        <v>4</v>
      </c>
      <c r="AU25" s="35" t="s">
        <v>169</v>
      </c>
      <c r="AV25" s="35">
        <v>1130</v>
      </c>
      <c r="AY25" s="63"/>
      <c r="AZ25" s="35" t="s">
        <v>172</v>
      </c>
      <c r="BD25" s="35">
        <v>11200</v>
      </c>
      <c r="BE25" s="35">
        <v>12900</v>
      </c>
      <c r="DO25" s="35">
        <v>14530</v>
      </c>
      <c r="DP25" s="35">
        <v>9940</v>
      </c>
      <c r="EJ25" s="12"/>
      <c r="EL25" s="15"/>
      <c r="FT25" s="35">
        <v>3</v>
      </c>
    </row>
    <row r="26" spans="1:176" s="35" customFormat="1" x14ac:dyDescent="0.25">
      <c r="A26" s="35">
        <v>3</v>
      </c>
      <c r="B26" s="35" t="s">
        <v>163</v>
      </c>
      <c r="C26" s="35" t="s">
        <v>164</v>
      </c>
      <c r="D26" s="35">
        <v>2008</v>
      </c>
      <c r="E26" s="35">
        <v>2004</v>
      </c>
      <c r="F26" s="35" t="s">
        <v>165</v>
      </c>
      <c r="G26" s="35" t="s">
        <v>166</v>
      </c>
      <c r="H26" s="35">
        <v>49.69</v>
      </c>
      <c r="I26" s="35">
        <v>-112.84</v>
      </c>
      <c r="J26" s="35">
        <v>901</v>
      </c>
      <c r="P26" s="54">
        <v>2</v>
      </c>
      <c r="Q26" s="54"/>
      <c r="R26" s="54"/>
      <c r="S26" s="54" t="s">
        <v>1553</v>
      </c>
      <c r="T26" s="54" t="s">
        <v>1553</v>
      </c>
      <c r="U26" s="54" t="s">
        <v>1553</v>
      </c>
      <c r="V26" s="54" t="s">
        <v>1553</v>
      </c>
      <c r="X26" s="35">
        <v>37</v>
      </c>
      <c r="Y26" s="35">
        <v>30</v>
      </c>
      <c r="Z26" s="35" t="s">
        <v>167</v>
      </c>
      <c r="AD26" s="35" t="s">
        <v>1470</v>
      </c>
      <c r="AE26" s="35" t="s">
        <v>1746</v>
      </c>
      <c r="AF26" s="152" t="s">
        <v>1761</v>
      </c>
      <c r="AG26" s="35" t="s">
        <v>1775</v>
      </c>
      <c r="AH26" s="154" t="s">
        <v>1797</v>
      </c>
      <c r="AR26" s="35" t="s">
        <v>147</v>
      </c>
      <c r="AS26" s="35">
        <v>4</v>
      </c>
      <c r="AT26" s="35">
        <v>4</v>
      </c>
      <c r="AU26" s="35" t="s">
        <v>169</v>
      </c>
      <c r="AV26" s="35">
        <v>560</v>
      </c>
      <c r="AY26" s="63"/>
      <c r="AZ26" s="35" t="s">
        <v>172</v>
      </c>
      <c r="BD26" s="35">
        <v>11200</v>
      </c>
      <c r="BE26" s="35">
        <v>11400</v>
      </c>
      <c r="DO26" s="35">
        <v>14530</v>
      </c>
      <c r="DP26" s="35">
        <v>14000</v>
      </c>
      <c r="EJ26" s="12"/>
      <c r="EL26" s="15"/>
      <c r="FT26" s="35">
        <v>3</v>
      </c>
    </row>
    <row r="27" spans="1:176" s="35" customFormat="1" x14ac:dyDescent="0.25">
      <c r="A27" s="35">
        <v>3</v>
      </c>
      <c r="B27" s="35" t="s">
        <v>163</v>
      </c>
      <c r="C27" s="35" t="s">
        <v>164</v>
      </c>
      <c r="D27" s="35">
        <v>2008</v>
      </c>
      <c r="E27" s="35">
        <v>2004</v>
      </c>
      <c r="F27" s="35" t="s">
        <v>165</v>
      </c>
      <c r="G27" s="35" t="s">
        <v>166</v>
      </c>
      <c r="H27" s="35">
        <v>49.69</v>
      </c>
      <c r="I27" s="35">
        <v>-112.84</v>
      </c>
      <c r="J27" s="35">
        <v>901</v>
      </c>
      <c r="P27" s="54">
        <v>2</v>
      </c>
      <c r="Q27" s="54"/>
      <c r="R27" s="54"/>
      <c r="S27" s="54" t="s">
        <v>1553</v>
      </c>
      <c r="T27" s="54" t="s">
        <v>1553</v>
      </c>
      <c r="U27" s="54" t="s">
        <v>1553</v>
      </c>
      <c r="V27" s="54" t="s">
        <v>1553</v>
      </c>
      <c r="X27" s="35">
        <v>37</v>
      </c>
      <c r="Y27" s="35">
        <v>30</v>
      </c>
      <c r="Z27" s="35" t="s">
        <v>167</v>
      </c>
      <c r="AD27" s="35" t="s">
        <v>1470</v>
      </c>
      <c r="AE27" s="35" t="s">
        <v>1747</v>
      </c>
      <c r="AF27" s="152" t="s">
        <v>1761</v>
      </c>
      <c r="AG27" s="35" t="s">
        <v>1775</v>
      </c>
      <c r="AH27" s="154" t="s">
        <v>1797</v>
      </c>
      <c r="AR27" s="35" t="s">
        <v>147</v>
      </c>
      <c r="AS27" s="35">
        <v>4</v>
      </c>
      <c r="AT27" s="35">
        <v>4</v>
      </c>
      <c r="AU27" s="35" t="s">
        <v>169</v>
      </c>
      <c r="AV27" s="35">
        <v>570</v>
      </c>
      <c r="AY27" s="63"/>
      <c r="AZ27" s="35" t="s">
        <v>172</v>
      </c>
      <c r="BD27" s="35">
        <v>11200</v>
      </c>
      <c r="BE27" s="35">
        <v>12600</v>
      </c>
      <c r="DO27" s="35">
        <v>14530</v>
      </c>
      <c r="DP27" s="35">
        <v>14190</v>
      </c>
      <c r="EJ27" s="12"/>
      <c r="EL27" s="15"/>
      <c r="FT27" s="35">
        <v>3</v>
      </c>
    </row>
    <row r="28" spans="1:176" s="35" customFormat="1" x14ac:dyDescent="0.25">
      <c r="A28" s="35">
        <v>3</v>
      </c>
      <c r="B28" s="35" t="s">
        <v>163</v>
      </c>
      <c r="C28" s="35" t="s">
        <v>164</v>
      </c>
      <c r="D28" s="35">
        <v>2008</v>
      </c>
      <c r="E28" s="35">
        <v>2004</v>
      </c>
      <c r="F28" s="35" t="s">
        <v>165</v>
      </c>
      <c r="G28" s="35" t="s">
        <v>166</v>
      </c>
      <c r="H28" s="35">
        <v>49.69</v>
      </c>
      <c r="I28" s="35">
        <v>-112.84</v>
      </c>
      <c r="J28" s="35">
        <v>901</v>
      </c>
      <c r="P28" s="54">
        <v>2</v>
      </c>
      <c r="Q28" s="54"/>
      <c r="R28" s="54"/>
      <c r="S28" s="54" t="s">
        <v>1553</v>
      </c>
      <c r="T28" s="54" t="s">
        <v>1553</v>
      </c>
      <c r="U28" s="54" t="s">
        <v>1553</v>
      </c>
      <c r="V28" s="54" t="s">
        <v>1553</v>
      </c>
      <c r="X28" s="35">
        <v>37</v>
      </c>
      <c r="Y28" s="35">
        <v>30</v>
      </c>
      <c r="Z28" s="35" t="s">
        <v>167</v>
      </c>
      <c r="AD28" s="35" t="s">
        <v>1470</v>
      </c>
      <c r="AE28" s="35" t="s">
        <v>1740</v>
      </c>
      <c r="AF28" s="152" t="s">
        <v>159</v>
      </c>
      <c r="AG28" s="35" t="s">
        <v>1775</v>
      </c>
      <c r="AH28" s="154" t="s">
        <v>1797</v>
      </c>
      <c r="AR28" s="35" t="s">
        <v>147</v>
      </c>
      <c r="AS28" s="35">
        <v>4</v>
      </c>
      <c r="AT28" s="35">
        <v>4</v>
      </c>
      <c r="AU28" s="35" t="s">
        <v>169</v>
      </c>
      <c r="AV28" s="35">
        <v>420</v>
      </c>
      <c r="AY28" s="63"/>
      <c r="AZ28" s="35" t="s">
        <v>172</v>
      </c>
      <c r="BD28" s="35">
        <v>11200</v>
      </c>
      <c r="BE28" s="35">
        <v>11900</v>
      </c>
      <c r="DO28" s="35">
        <v>14530</v>
      </c>
      <c r="DP28" s="35">
        <v>12700</v>
      </c>
      <c r="EJ28" s="12"/>
      <c r="EL28" s="15"/>
      <c r="FT28" s="35">
        <v>3</v>
      </c>
    </row>
    <row r="29" spans="1:176" s="35" customFormat="1" x14ac:dyDescent="0.25">
      <c r="A29" s="35">
        <v>3</v>
      </c>
      <c r="B29" s="35" t="s">
        <v>163</v>
      </c>
      <c r="C29" s="35" t="s">
        <v>164</v>
      </c>
      <c r="D29" s="35">
        <v>2008</v>
      </c>
      <c r="E29" s="35">
        <v>2005</v>
      </c>
      <c r="F29" s="35" t="s">
        <v>165</v>
      </c>
      <c r="G29" s="35" t="s">
        <v>166</v>
      </c>
      <c r="H29" s="35">
        <v>49.69</v>
      </c>
      <c r="I29" s="35">
        <v>-112.84</v>
      </c>
      <c r="J29" s="35">
        <v>901</v>
      </c>
      <c r="P29" s="54">
        <v>3</v>
      </c>
      <c r="Q29" s="54"/>
      <c r="R29" s="54"/>
      <c r="S29" s="54" t="s">
        <v>1553</v>
      </c>
      <c r="T29" s="54" t="s">
        <v>1553</v>
      </c>
      <c r="U29" s="54" t="s">
        <v>1553</v>
      </c>
      <c r="V29" s="54" t="s">
        <v>1553</v>
      </c>
      <c r="X29" s="35">
        <v>37</v>
      </c>
      <c r="Y29" s="35">
        <v>30</v>
      </c>
      <c r="Z29" s="35" t="s">
        <v>167</v>
      </c>
      <c r="AD29" s="35" t="s">
        <v>1470</v>
      </c>
      <c r="AE29" s="35" t="s">
        <v>1741</v>
      </c>
      <c r="AF29" s="152" t="s">
        <v>159</v>
      </c>
      <c r="AG29" s="35" t="s">
        <v>1775</v>
      </c>
      <c r="AH29" s="154" t="s">
        <v>1797</v>
      </c>
      <c r="AR29" s="35" t="s">
        <v>147</v>
      </c>
      <c r="AS29" s="35">
        <v>4</v>
      </c>
      <c r="AT29" s="35">
        <v>4</v>
      </c>
      <c r="AU29" s="35" t="s">
        <v>169</v>
      </c>
      <c r="AV29" s="35">
        <v>7940</v>
      </c>
      <c r="AY29" s="63"/>
      <c r="AZ29" s="35" t="s">
        <v>172</v>
      </c>
      <c r="BD29" s="35">
        <v>4400</v>
      </c>
      <c r="BE29" s="35">
        <v>8400</v>
      </c>
      <c r="DO29" s="35">
        <v>19940</v>
      </c>
      <c r="DP29" s="35">
        <v>12920</v>
      </c>
      <c r="EJ29" s="12"/>
      <c r="EL29" s="15"/>
      <c r="FT29" s="35">
        <v>3</v>
      </c>
    </row>
    <row r="30" spans="1:176" s="35" customFormat="1" x14ac:dyDescent="0.25">
      <c r="A30" s="35">
        <v>3</v>
      </c>
      <c r="B30" s="35" t="s">
        <v>163</v>
      </c>
      <c r="C30" s="35" t="s">
        <v>164</v>
      </c>
      <c r="D30" s="35">
        <v>2008</v>
      </c>
      <c r="E30" s="35">
        <v>2005</v>
      </c>
      <c r="F30" s="35" t="s">
        <v>165</v>
      </c>
      <c r="G30" s="35" t="s">
        <v>166</v>
      </c>
      <c r="H30" s="35">
        <v>49.69</v>
      </c>
      <c r="I30" s="35">
        <v>-112.84</v>
      </c>
      <c r="J30" s="35">
        <v>901</v>
      </c>
      <c r="P30" s="54">
        <v>3</v>
      </c>
      <c r="Q30" s="54"/>
      <c r="R30" s="54"/>
      <c r="S30" s="54" t="s">
        <v>1553</v>
      </c>
      <c r="T30" s="54" t="s">
        <v>1553</v>
      </c>
      <c r="U30" s="54" t="s">
        <v>1553</v>
      </c>
      <c r="V30" s="54" t="s">
        <v>1553</v>
      </c>
      <c r="X30" s="35">
        <v>37</v>
      </c>
      <c r="Y30" s="35">
        <v>30</v>
      </c>
      <c r="Z30" s="35" t="s">
        <v>167</v>
      </c>
      <c r="AD30" s="35" t="s">
        <v>1470</v>
      </c>
      <c r="AE30" s="35" t="s">
        <v>1750</v>
      </c>
      <c r="AF30" s="152" t="s">
        <v>1761</v>
      </c>
      <c r="AG30" s="35" t="s">
        <v>1775</v>
      </c>
      <c r="AH30" s="154" t="s">
        <v>1797</v>
      </c>
      <c r="AR30" s="35" t="s">
        <v>147</v>
      </c>
      <c r="AS30" s="35">
        <v>4</v>
      </c>
      <c r="AT30" s="35">
        <v>4</v>
      </c>
      <c r="AU30" s="35" t="s">
        <v>169</v>
      </c>
      <c r="AV30" s="35">
        <v>380</v>
      </c>
      <c r="AY30" s="63"/>
      <c r="AZ30" s="35" t="s">
        <v>172</v>
      </c>
      <c r="BD30" s="35">
        <v>4400</v>
      </c>
      <c r="BE30" s="35">
        <v>6300</v>
      </c>
      <c r="DO30" s="35">
        <v>19940</v>
      </c>
      <c r="DP30" s="35">
        <v>16720</v>
      </c>
      <c r="EJ30" s="12"/>
      <c r="EL30" s="15"/>
      <c r="FT30" s="35">
        <v>3</v>
      </c>
    </row>
    <row r="31" spans="1:176" s="35" customFormat="1" x14ac:dyDescent="0.25">
      <c r="A31" s="35">
        <v>3</v>
      </c>
      <c r="B31" s="35" t="s">
        <v>163</v>
      </c>
      <c r="C31" s="35" t="s">
        <v>164</v>
      </c>
      <c r="D31" s="35">
        <v>2008</v>
      </c>
      <c r="E31" s="35">
        <v>2005</v>
      </c>
      <c r="F31" s="35" t="s">
        <v>165</v>
      </c>
      <c r="G31" s="35" t="s">
        <v>166</v>
      </c>
      <c r="H31" s="35">
        <v>49.69</v>
      </c>
      <c r="I31" s="35">
        <v>-112.84</v>
      </c>
      <c r="J31" s="35">
        <v>901</v>
      </c>
      <c r="P31" s="54">
        <v>3</v>
      </c>
      <c r="Q31" s="54"/>
      <c r="R31" s="54"/>
      <c r="S31" s="54" t="s">
        <v>1553</v>
      </c>
      <c r="T31" s="54" t="s">
        <v>1553</v>
      </c>
      <c r="U31" s="54" t="s">
        <v>1553</v>
      </c>
      <c r="V31" s="54" t="s">
        <v>1553</v>
      </c>
      <c r="X31" s="35">
        <v>37</v>
      </c>
      <c r="Y31" s="35">
        <v>30</v>
      </c>
      <c r="Z31" s="35" t="s">
        <v>167</v>
      </c>
      <c r="AD31" s="35" t="s">
        <v>1470</v>
      </c>
      <c r="AE31" s="35" t="s">
        <v>1751</v>
      </c>
      <c r="AF31" s="152" t="s">
        <v>1761</v>
      </c>
      <c r="AG31" s="35" t="s">
        <v>1775</v>
      </c>
      <c r="AH31" s="154" t="s">
        <v>1797</v>
      </c>
      <c r="AR31" s="35" t="s">
        <v>147</v>
      </c>
      <c r="AS31" s="35">
        <v>4</v>
      </c>
      <c r="AT31" s="35">
        <v>4</v>
      </c>
      <c r="AU31" s="35" t="s">
        <v>169</v>
      </c>
      <c r="AV31" s="35">
        <v>400</v>
      </c>
      <c r="AY31" s="63"/>
      <c r="AZ31" s="35" t="s">
        <v>172</v>
      </c>
      <c r="BD31" s="35">
        <v>4400</v>
      </c>
      <c r="BE31" s="35">
        <v>6500</v>
      </c>
      <c r="DO31" s="35">
        <v>19940</v>
      </c>
      <c r="DP31" s="35">
        <v>14690</v>
      </c>
      <c r="EJ31" s="12"/>
      <c r="EL31" s="15"/>
      <c r="FT31" s="35">
        <v>3</v>
      </c>
    </row>
    <row r="32" spans="1:176" s="35" customFormat="1" x14ac:dyDescent="0.25">
      <c r="A32" s="35">
        <v>3</v>
      </c>
      <c r="B32" s="35" t="s">
        <v>163</v>
      </c>
      <c r="C32" s="35" t="s">
        <v>164</v>
      </c>
      <c r="D32" s="35">
        <v>2008</v>
      </c>
      <c r="E32" s="35">
        <v>2005</v>
      </c>
      <c r="F32" s="35" t="s">
        <v>165</v>
      </c>
      <c r="G32" s="35" t="s">
        <v>166</v>
      </c>
      <c r="H32" s="35">
        <v>49.69</v>
      </c>
      <c r="I32" s="35">
        <v>-112.84</v>
      </c>
      <c r="J32" s="35">
        <v>901</v>
      </c>
      <c r="P32" s="54">
        <v>3</v>
      </c>
      <c r="Q32" s="54"/>
      <c r="R32" s="54"/>
      <c r="S32" s="54" t="s">
        <v>1553</v>
      </c>
      <c r="T32" s="54" t="s">
        <v>1553</v>
      </c>
      <c r="U32" s="54" t="s">
        <v>1553</v>
      </c>
      <c r="V32" s="54" t="s">
        <v>1553</v>
      </c>
      <c r="X32" s="35">
        <v>37</v>
      </c>
      <c r="Y32" s="35">
        <v>30</v>
      </c>
      <c r="Z32" s="35" t="s">
        <v>167</v>
      </c>
      <c r="AD32" s="35" t="s">
        <v>1470</v>
      </c>
      <c r="AE32" s="35" t="s">
        <v>1742</v>
      </c>
      <c r="AF32" s="152" t="s">
        <v>159</v>
      </c>
      <c r="AG32" s="35" t="s">
        <v>1775</v>
      </c>
      <c r="AH32" s="154" t="s">
        <v>1797</v>
      </c>
      <c r="AR32" s="35" t="s">
        <v>147</v>
      </c>
      <c r="AS32" s="35">
        <v>4</v>
      </c>
      <c r="AT32" s="35">
        <v>4</v>
      </c>
      <c r="AU32" s="35" t="s">
        <v>169</v>
      </c>
      <c r="AV32" s="35">
        <v>1140</v>
      </c>
      <c r="AY32" s="63"/>
      <c r="AZ32" s="35" t="s">
        <v>172</v>
      </c>
      <c r="BD32" s="35">
        <v>4400</v>
      </c>
      <c r="BE32" s="35">
        <v>5700</v>
      </c>
      <c r="DO32" s="35">
        <v>19940</v>
      </c>
      <c r="DP32" s="35">
        <v>15610</v>
      </c>
      <c r="EJ32" s="12"/>
      <c r="EL32" s="15"/>
      <c r="FT32" s="35">
        <v>3</v>
      </c>
    </row>
    <row r="33" spans="1:176" s="35" customFormat="1" x14ac:dyDescent="0.25">
      <c r="A33" s="35">
        <v>3</v>
      </c>
      <c r="B33" s="35" t="s">
        <v>163</v>
      </c>
      <c r="C33" s="35" t="s">
        <v>164</v>
      </c>
      <c r="D33" s="35">
        <v>2008</v>
      </c>
      <c r="E33" s="35">
        <v>2005</v>
      </c>
      <c r="F33" s="35" t="s">
        <v>165</v>
      </c>
      <c r="G33" s="35" t="s">
        <v>166</v>
      </c>
      <c r="H33" s="35">
        <v>49.69</v>
      </c>
      <c r="I33" s="35">
        <v>-112.84</v>
      </c>
      <c r="J33" s="35">
        <v>901</v>
      </c>
      <c r="P33" s="54">
        <v>3</v>
      </c>
      <c r="Q33" s="54"/>
      <c r="R33" s="54"/>
      <c r="S33" s="54" t="s">
        <v>1553</v>
      </c>
      <c r="T33" s="54" t="s">
        <v>1553</v>
      </c>
      <c r="U33" s="54" t="s">
        <v>1553</v>
      </c>
      <c r="V33" s="54" t="s">
        <v>1553</v>
      </c>
      <c r="X33" s="35">
        <v>37</v>
      </c>
      <c r="Y33" s="35">
        <v>30</v>
      </c>
      <c r="Z33" s="35" t="s">
        <v>167</v>
      </c>
      <c r="AD33" s="35" t="s">
        <v>1470</v>
      </c>
      <c r="AE33" s="35" t="s">
        <v>1746</v>
      </c>
      <c r="AF33" s="152" t="s">
        <v>1761</v>
      </c>
      <c r="AG33" s="35" t="s">
        <v>1775</v>
      </c>
      <c r="AH33" s="154" t="s">
        <v>1797</v>
      </c>
      <c r="AR33" s="35" t="s">
        <v>147</v>
      </c>
      <c r="AS33" s="35">
        <v>4</v>
      </c>
      <c r="AT33" s="35">
        <v>4</v>
      </c>
      <c r="AU33" s="35" t="s">
        <v>169</v>
      </c>
      <c r="AV33" s="35">
        <v>190</v>
      </c>
      <c r="AY33" s="63"/>
      <c r="AZ33" s="35" t="s">
        <v>172</v>
      </c>
      <c r="BD33" s="35">
        <v>4400</v>
      </c>
      <c r="BE33" s="35">
        <v>4300</v>
      </c>
      <c r="DO33" s="35">
        <v>19940</v>
      </c>
      <c r="DP33" s="35">
        <v>19570</v>
      </c>
      <c r="EJ33" s="12"/>
      <c r="EL33" s="15"/>
      <c r="FT33" s="35">
        <v>3</v>
      </c>
    </row>
    <row r="34" spans="1:176" s="35" customFormat="1" x14ac:dyDescent="0.25">
      <c r="A34" s="35">
        <v>3</v>
      </c>
      <c r="B34" s="35" t="s">
        <v>163</v>
      </c>
      <c r="C34" s="35" t="s">
        <v>164</v>
      </c>
      <c r="D34" s="35">
        <v>2008</v>
      </c>
      <c r="E34" s="35">
        <v>2005</v>
      </c>
      <c r="F34" s="35" t="s">
        <v>165</v>
      </c>
      <c r="G34" s="35" t="s">
        <v>166</v>
      </c>
      <c r="H34" s="35">
        <v>49.69</v>
      </c>
      <c r="I34" s="35">
        <v>-112.84</v>
      </c>
      <c r="J34" s="35">
        <v>901</v>
      </c>
      <c r="P34" s="54">
        <v>3</v>
      </c>
      <c r="Q34" s="54"/>
      <c r="R34" s="54"/>
      <c r="S34" s="54" t="s">
        <v>1553</v>
      </c>
      <c r="T34" s="54" t="s">
        <v>1553</v>
      </c>
      <c r="U34" s="54" t="s">
        <v>1553</v>
      </c>
      <c r="V34" s="54" t="s">
        <v>1553</v>
      </c>
      <c r="X34" s="35">
        <v>37</v>
      </c>
      <c r="Y34" s="35">
        <v>30</v>
      </c>
      <c r="Z34" s="35" t="s">
        <v>167</v>
      </c>
      <c r="AD34" s="35" t="s">
        <v>1470</v>
      </c>
      <c r="AE34" s="35" t="s">
        <v>1747</v>
      </c>
      <c r="AF34" s="152" t="s">
        <v>1761</v>
      </c>
      <c r="AG34" s="35" t="s">
        <v>1775</v>
      </c>
      <c r="AH34" s="154" t="s">
        <v>1797</v>
      </c>
      <c r="AR34" s="35" t="s">
        <v>147</v>
      </c>
      <c r="AS34" s="35">
        <v>4</v>
      </c>
      <c r="AT34" s="35">
        <v>4</v>
      </c>
      <c r="AU34" s="35" t="s">
        <v>169</v>
      </c>
      <c r="AV34" s="35">
        <v>280</v>
      </c>
      <c r="AY34" s="63"/>
      <c r="AZ34" s="35" t="s">
        <v>172</v>
      </c>
      <c r="BD34" s="35">
        <v>4400</v>
      </c>
      <c r="BE34" s="35">
        <v>4800</v>
      </c>
      <c r="DO34" s="35">
        <v>19940</v>
      </c>
      <c r="DP34" s="35">
        <v>20400</v>
      </c>
      <c r="EJ34" s="12"/>
      <c r="EL34" s="15"/>
      <c r="FT34" s="35">
        <v>3</v>
      </c>
    </row>
    <row r="35" spans="1:176" s="35" customFormat="1" x14ac:dyDescent="0.25">
      <c r="A35" s="35">
        <v>3</v>
      </c>
      <c r="B35" s="35" t="s">
        <v>163</v>
      </c>
      <c r="C35" s="35" t="s">
        <v>164</v>
      </c>
      <c r="D35" s="35">
        <v>2008</v>
      </c>
      <c r="E35" s="35">
        <v>2005</v>
      </c>
      <c r="F35" s="35" t="s">
        <v>165</v>
      </c>
      <c r="G35" s="35" t="s">
        <v>166</v>
      </c>
      <c r="H35" s="35">
        <v>49.69</v>
      </c>
      <c r="I35" s="35">
        <v>-112.84</v>
      </c>
      <c r="J35" s="35">
        <v>901</v>
      </c>
      <c r="P35" s="54">
        <v>3</v>
      </c>
      <c r="Q35" s="54"/>
      <c r="R35" s="54"/>
      <c r="S35" s="54" t="s">
        <v>1553</v>
      </c>
      <c r="T35" s="54" t="s">
        <v>1553</v>
      </c>
      <c r="U35" s="54" t="s">
        <v>1553</v>
      </c>
      <c r="V35" s="54" t="s">
        <v>1553</v>
      </c>
      <c r="X35" s="35">
        <v>37</v>
      </c>
      <c r="Y35" s="35">
        <v>30</v>
      </c>
      <c r="Z35" s="35" t="s">
        <v>167</v>
      </c>
      <c r="AD35" s="35" t="s">
        <v>1470</v>
      </c>
      <c r="AE35" s="35" t="s">
        <v>1740</v>
      </c>
      <c r="AF35" s="152" t="s">
        <v>159</v>
      </c>
      <c r="AG35" s="35" t="s">
        <v>1775</v>
      </c>
      <c r="AH35" s="154" t="s">
        <v>1797</v>
      </c>
      <c r="AR35" s="35" t="s">
        <v>147</v>
      </c>
      <c r="AS35" s="35">
        <v>4</v>
      </c>
      <c r="AT35" s="35">
        <v>4</v>
      </c>
      <c r="AU35" s="35" t="s">
        <v>169</v>
      </c>
      <c r="AV35" s="35">
        <v>230</v>
      </c>
      <c r="AY35" s="63"/>
      <c r="AZ35" s="35" t="s">
        <v>172</v>
      </c>
      <c r="BD35" s="35">
        <v>4400</v>
      </c>
      <c r="BE35" s="35">
        <v>5000</v>
      </c>
      <c r="DO35" s="35">
        <v>19940</v>
      </c>
      <c r="DP35" s="35">
        <v>20380</v>
      </c>
      <c r="EJ35" s="12"/>
      <c r="EL35" s="15"/>
      <c r="FT35" s="35">
        <v>3</v>
      </c>
    </row>
    <row r="36" spans="1:176" s="35" customFormat="1" x14ac:dyDescent="0.25">
      <c r="A36" s="35">
        <v>3</v>
      </c>
      <c r="B36" s="35" t="s">
        <v>163</v>
      </c>
      <c r="C36" s="35" t="s">
        <v>164</v>
      </c>
      <c r="D36" s="35">
        <v>2008</v>
      </c>
      <c r="E36" s="35">
        <v>2003</v>
      </c>
      <c r="F36" s="35" t="s">
        <v>165</v>
      </c>
      <c r="G36" s="35" t="s">
        <v>166</v>
      </c>
      <c r="H36" s="35">
        <v>49.69</v>
      </c>
      <c r="I36" s="35">
        <v>-112.84</v>
      </c>
      <c r="J36" s="35">
        <v>901</v>
      </c>
      <c r="P36" s="54">
        <v>1</v>
      </c>
      <c r="Q36" s="54"/>
      <c r="R36" s="54"/>
      <c r="S36" s="54" t="s">
        <v>1553</v>
      </c>
      <c r="T36" s="54" t="s">
        <v>1553</v>
      </c>
      <c r="U36" s="54" t="s">
        <v>1553</v>
      </c>
      <c r="V36" s="54" t="s">
        <v>1553</v>
      </c>
      <c r="X36" s="35">
        <v>37</v>
      </c>
      <c r="Y36" s="35">
        <v>30</v>
      </c>
      <c r="Z36" s="35" t="s">
        <v>167</v>
      </c>
      <c r="AD36" s="35" t="s">
        <v>1470</v>
      </c>
      <c r="AE36" s="35" t="s">
        <v>1741</v>
      </c>
      <c r="AF36" s="152" t="s">
        <v>159</v>
      </c>
      <c r="AG36" s="35" t="s">
        <v>1775</v>
      </c>
      <c r="AH36" s="154" t="s">
        <v>1797</v>
      </c>
      <c r="AR36" s="35" t="s">
        <v>147</v>
      </c>
      <c r="AS36" s="35">
        <v>4</v>
      </c>
      <c r="AT36" s="35">
        <v>4</v>
      </c>
      <c r="AU36" s="35" t="s">
        <v>169</v>
      </c>
      <c r="AV36" s="35">
        <v>5520</v>
      </c>
      <c r="AY36" s="63"/>
      <c r="AZ36" s="35" t="s">
        <v>173</v>
      </c>
      <c r="BD36" s="35">
        <v>33800</v>
      </c>
      <c r="BE36" s="35">
        <v>37300</v>
      </c>
      <c r="DO36" s="35">
        <v>3010</v>
      </c>
      <c r="DP36" s="35">
        <v>1420</v>
      </c>
      <c r="EJ36" s="12"/>
      <c r="EL36" s="15"/>
      <c r="FT36" s="35">
        <v>3</v>
      </c>
    </row>
    <row r="37" spans="1:176" s="35" customFormat="1" x14ac:dyDescent="0.25">
      <c r="A37" s="35">
        <v>3</v>
      </c>
      <c r="B37" s="35" t="s">
        <v>163</v>
      </c>
      <c r="C37" s="35" t="s">
        <v>164</v>
      </c>
      <c r="D37" s="35">
        <v>2008</v>
      </c>
      <c r="E37" s="35">
        <v>2003</v>
      </c>
      <c r="F37" s="35" t="s">
        <v>165</v>
      </c>
      <c r="G37" s="35" t="s">
        <v>166</v>
      </c>
      <c r="H37" s="35">
        <v>49.69</v>
      </c>
      <c r="I37" s="35">
        <v>-112.84</v>
      </c>
      <c r="J37" s="35">
        <v>901</v>
      </c>
      <c r="P37" s="54">
        <v>1</v>
      </c>
      <c r="Q37" s="54"/>
      <c r="R37" s="54"/>
      <c r="S37" s="54" t="s">
        <v>1553</v>
      </c>
      <c r="T37" s="54" t="s">
        <v>1553</v>
      </c>
      <c r="U37" s="54" t="s">
        <v>1553</v>
      </c>
      <c r="V37" s="54" t="s">
        <v>1553</v>
      </c>
      <c r="X37" s="35">
        <v>37</v>
      </c>
      <c r="Y37" s="35">
        <v>30</v>
      </c>
      <c r="Z37" s="35" t="s">
        <v>167</v>
      </c>
      <c r="AD37" s="35" t="s">
        <v>1470</v>
      </c>
      <c r="AE37" s="35" t="s">
        <v>1750</v>
      </c>
      <c r="AF37" s="152" t="s">
        <v>1761</v>
      </c>
      <c r="AG37" s="35" t="s">
        <v>1775</v>
      </c>
      <c r="AH37" s="154" t="s">
        <v>1797</v>
      </c>
      <c r="AR37" s="35" t="s">
        <v>147</v>
      </c>
      <c r="AS37" s="35">
        <v>4</v>
      </c>
      <c r="AT37" s="35">
        <v>4</v>
      </c>
      <c r="AU37" s="35" t="s">
        <v>169</v>
      </c>
      <c r="AV37" s="35">
        <v>1320</v>
      </c>
      <c r="AY37" s="63"/>
      <c r="AZ37" s="35" t="s">
        <v>173</v>
      </c>
      <c r="BD37" s="35">
        <v>33800</v>
      </c>
      <c r="BE37" s="35">
        <v>35600</v>
      </c>
      <c r="DO37" s="35">
        <v>3010</v>
      </c>
      <c r="DP37" s="35">
        <v>3470</v>
      </c>
      <c r="EJ37" s="12"/>
      <c r="EL37" s="15"/>
      <c r="FT37" s="35">
        <v>3</v>
      </c>
    </row>
    <row r="38" spans="1:176" s="35" customFormat="1" x14ac:dyDescent="0.25">
      <c r="A38" s="35">
        <v>3</v>
      </c>
      <c r="B38" s="35" t="s">
        <v>163</v>
      </c>
      <c r="C38" s="35" t="s">
        <v>164</v>
      </c>
      <c r="D38" s="35">
        <v>2008</v>
      </c>
      <c r="E38" s="35">
        <v>2003</v>
      </c>
      <c r="F38" s="35" t="s">
        <v>165</v>
      </c>
      <c r="G38" s="35" t="s">
        <v>166</v>
      </c>
      <c r="H38" s="35">
        <v>49.69</v>
      </c>
      <c r="I38" s="35">
        <v>-112.84</v>
      </c>
      <c r="J38" s="35">
        <v>901</v>
      </c>
      <c r="P38" s="54">
        <v>1</v>
      </c>
      <c r="Q38" s="54"/>
      <c r="R38" s="54"/>
      <c r="S38" s="54" t="s">
        <v>1553</v>
      </c>
      <c r="T38" s="54" t="s">
        <v>1553</v>
      </c>
      <c r="U38" s="54" t="s">
        <v>1553</v>
      </c>
      <c r="V38" s="54" t="s">
        <v>1553</v>
      </c>
      <c r="X38" s="35">
        <v>37</v>
      </c>
      <c r="Y38" s="35">
        <v>30</v>
      </c>
      <c r="Z38" s="35" t="s">
        <v>167</v>
      </c>
      <c r="AD38" s="35" t="s">
        <v>1470</v>
      </c>
      <c r="AE38" s="35" t="s">
        <v>1751</v>
      </c>
      <c r="AF38" s="152" t="s">
        <v>1761</v>
      </c>
      <c r="AG38" s="35" t="s">
        <v>1775</v>
      </c>
      <c r="AH38" s="154" t="s">
        <v>1797</v>
      </c>
      <c r="AR38" s="35" t="s">
        <v>147</v>
      </c>
      <c r="AS38" s="35">
        <v>4</v>
      </c>
      <c r="AT38" s="35">
        <v>4</v>
      </c>
      <c r="AU38" s="35" t="s">
        <v>169</v>
      </c>
      <c r="AV38" s="35">
        <v>1170</v>
      </c>
      <c r="AY38" s="63"/>
      <c r="AZ38" s="35" t="s">
        <v>173</v>
      </c>
      <c r="BD38" s="35">
        <v>33800</v>
      </c>
      <c r="BE38" s="35">
        <v>36100</v>
      </c>
      <c r="DO38" s="35">
        <v>3010</v>
      </c>
      <c r="DP38" s="35">
        <v>2700</v>
      </c>
      <c r="EJ38" s="12"/>
      <c r="EL38" s="15"/>
      <c r="FT38" s="35">
        <v>3</v>
      </c>
    </row>
    <row r="39" spans="1:176" s="35" customFormat="1" x14ac:dyDescent="0.25">
      <c r="A39" s="35">
        <v>3</v>
      </c>
      <c r="B39" s="35" t="s">
        <v>163</v>
      </c>
      <c r="C39" s="35" t="s">
        <v>164</v>
      </c>
      <c r="D39" s="35">
        <v>2008</v>
      </c>
      <c r="E39" s="35">
        <v>2003</v>
      </c>
      <c r="F39" s="35" t="s">
        <v>165</v>
      </c>
      <c r="G39" s="35" t="s">
        <v>166</v>
      </c>
      <c r="H39" s="35">
        <v>49.69</v>
      </c>
      <c r="I39" s="35">
        <v>-112.84</v>
      </c>
      <c r="J39" s="35">
        <v>901</v>
      </c>
      <c r="P39" s="54">
        <v>1</v>
      </c>
      <c r="Q39" s="54"/>
      <c r="R39" s="54"/>
      <c r="S39" s="54" t="s">
        <v>1553</v>
      </c>
      <c r="T39" s="54" t="s">
        <v>1553</v>
      </c>
      <c r="U39" s="54" t="s">
        <v>1553</v>
      </c>
      <c r="V39" s="54" t="s">
        <v>1553</v>
      </c>
      <c r="X39" s="35">
        <v>37</v>
      </c>
      <c r="Y39" s="35">
        <v>30</v>
      </c>
      <c r="Z39" s="35" t="s">
        <v>167</v>
      </c>
      <c r="AD39" s="35" t="s">
        <v>1470</v>
      </c>
      <c r="AE39" s="35" t="s">
        <v>1742</v>
      </c>
      <c r="AF39" s="152" t="s">
        <v>159</v>
      </c>
      <c r="AG39" s="35" t="s">
        <v>1775</v>
      </c>
      <c r="AH39" s="154" t="s">
        <v>1797</v>
      </c>
      <c r="AR39" s="35" t="s">
        <v>147</v>
      </c>
      <c r="AS39" s="35">
        <v>4</v>
      </c>
      <c r="AT39" s="35">
        <v>4</v>
      </c>
      <c r="AU39" s="35" t="s">
        <v>169</v>
      </c>
      <c r="AV39" s="35">
        <v>1480</v>
      </c>
      <c r="AY39" s="63"/>
      <c r="AZ39" s="35" t="s">
        <v>173</v>
      </c>
      <c r="BD39" s="35">
        <v>33800</v>
      </c>
      <c r="BE39" s="35">
        <v>38300</v>
      </c>
      <c r="DO39" s="35">
        <v>3010</v>
      </c>
      <c r="DP39" s="35">
        <v>2580</v>
      </c>
      <c r="EJ39" s="12"/>
      <c r="EL39" s="15"/>
      <c r="FT39" s="35">
        <v>3</v>
      </c>
    </row>
    <row r="40" spans="1:176" s="35" customFormat="1" x14ac:dyDescent="0.25">
      <c r="A40" s="35">
        <v>3</v>
      </c>
      <c r="B40" s="35" t="s">
        <v>163</v>
      </c>
      <c r="C40" s="35" t="s">
        <v>164</v>
      </c>
      <c r="D40" s="35">
        <v>2008</v>
      </c>
      <c r="E40" s="35">
        <v>2003</v>
      </c>
      <c r="F40" s="35" t="s">
        <v>165</v>
      </c>
      <c r="G40" s="35" t="s">
        <v>166</v>
      </c>
      <c r="H40" s="35">
        <v>49.69</v>
      </c>
      <c r="I40" s="35">
        <v>-112.84</v>
      </c>
      <c r="J40" s="35">
        <v>901</v>
      </c>
      <c r="P40" s="54">
        <v>1</v>
      </c>
      <c r="Q40" s="54"/>
      <c r="R40" s="54"/>
      <c r="S40" s="54" t="s">
        <v>1553</v>
      </c>
      <c r="T40" s="54" t="s">
        <v>1553</v>
      </c>
      <c r="U40" s="54" t="s">
        <v>1553</v>
      </c>
      <c r="V40" s="54" t="s">
        <v>1553</v>
      </c>
      <c r="X40" s="35">
        <v>37</v>
      </c>
      <c r="Y40" s="35">
        <v>30</v>
      </c>
      <c r="Z40" s="35" t="s">
        <v>167</v>
      </c>
      <c r="AD40" s="35" t="s">
        <v>1470</v>
      </c>
      <c r="AE40" s="35" t="s">
        <v>1746</v>
      </c>
      <c r="AF40" s="152" t="s">
        <v>1761</v>
      </c>
      <c r="AG40" s="35" t="s">
        <v>1775</v>
      </c>
      <c r="AH40" s="154" t="s">
        <v>1797</v>
      </c>
      <c r="AR40" s="35" t="s">
        <v>147</v>
      </c>
      <c r="AS40" s="35">
        <v>4</v>
      </c>
      <c r="AT40" s="35">
        <v>4</v>
      </c>
      <c r="AU40" s="35" t="s">
        <v>169</v>
      </c>
      <c r="AV40" s="35">
        <v>690</v>
      </c>
      <c r="AY40" s="63"/>
      <c r="AZ40" s="35" t="s">
        <v>173</v>
      </c>
      <c r="BD40" s="35">
        <v>33800</v>
      </c>
      <c r="BE40" s="35">
        <v>35800</v>
      </c>
      <c r="DO40" s="35">
        <v>3010</v>
      </c>
      <c r="DP40" s="35">
        <v>2640</v>
      </c>
      <c r="EJ40" s="12"/>
      <c r="EL40" s="15"/>
      <c r="FT40" s="35">
        <v>3</v>
      </c>
    </row>
    <row r="41" spans="1:176" s="35" customFormat="1" x14ac:dyDescent="0.25">
      <c r="A41" s="35">
        <v>3</v>
      </c>
      <c r="B41" s="35" t="s">
        <v>163</v>
      </c>
      <c r="C41" s="35" t="s">
        <v>164</v>
      </c>
      <c r="D41" s="35">
        <v>2008</v>
      </c>
      <c r="E41" s="35">
        <v>2003</v>
      </c>
      <c r="F41" s="35" t="s">
        <v>165</v>
      </c>
      <c r="G41" s="35" t="s">
        <v>166</v>
      </c>
      <c r="H41" s="35">
        <v>49.69</v>
      </c>
      <c r="I41" s="35">
        <v>-112.84</v>
      </c>
      <c r="J41" s="35">
        <v>901</v>
      </c>
      <c r="P41" s="54">
        <v>1</v>
      </c>
      <c r="Q41" s="54"/>
      <c r="R41" s="54"/>
      <c r="S41" s="54" t="s">
        <v>1553</v>
      </c>
      <c r="T41" s="54" t="s">
        <v>1553</v>
      </c>
      <c r="U41" s="54" t="s">
        <v>1553</v>
      </c>
      <c r="V41" s="54" t="s">
        <v>1553</v>
      </c>
      <c r="X41" s="35">
        <v>37</v>
      </c>
      <c r="Y41" s="35">
        <v>30</v>
      </c>
      <c r="Z41" s="35" t="s">
        <v>167</v>
      </c>
      <c r="AD41" s="35" t="s">
        <v>1470</v>
      </c>
      <c r="AE41" s="35" t="s">
        <v>1747</v>
      </c>
      <c r="AF41" s="152" t="s">
        <v>1761</v>
      </c>
      <c r="AG41" s="35" t="s">
        <v>1775</v>
      </c>
      <c r="AH41" s="154" t="s">
        <v>1797</v>
      </c>
      <c r="AR41" s="35" t="s">
        <v>147</v>
      </c>
      <c r="AS41" s="35">
        <v>4</v>
      </c>
      <c r="AT41" s="35">
        <v>4</v>
      </c>
      <c r="AU41" s="35" t="s">
        <v>169</v>
      </c>
      <c r="AV41" s="35">
        <v>400</v>
      </c>
      <c r="AY41" s="63"/>
      <c r="AZ41" s="35" t="s">
        <v>173</v>
      </c>
      <c r="BD41" s="35">
        <v>33800</v>
      </c>
      <c r="BE41" s="35">
        <v>35200</v>
      </c>
      <c r="DO41" s="35">
        <v>3010</v>
      </c>
      <c r="DP41" s="35">
        <v>2820</v>
      </c>
      <c r="EJ41" s="12"/>
      <c r="EL41" s="15"/>
      <c r="FT41" s="35">
        <v>3</v>
      </c>
    </row>
    <row r="42" spans="1:176" s="35" customFormat="1" x14ac:dyDescent="0.25">
      <c r="A42" s="35">
        <v>3</v>
      </c>
      <c r="B42" s="35" t="s">
        <v>163</v>
      </c>
      <c r="C42" s="35" t="s">
        <v>164</v>
      </c>
      <c r="D42" s="35">
        <v>2008</v>
      </c>
      <c r="E42" s="35">
        <v>2003</v>
      </c>
      <c r="F42" s="35" t="s">
        <v>165</v>
      </c>
      <c r="G42" s="35" t="s">
        <v>166</v>
      </c>
      <c r="H42" s="35">
        <v>49.69</v>
      </c>
      <c r="I42" s="35">
        <v>-112.84</v>
      </c>
      <c r="J42" s="35">
        <v>901</v>
      </c>
      <c r="P42" s="54">
        <v>1</v>
      </c>
      <c r="Q42" s="54"/>
      <c r="R42" s="54"/>
      <c r="S42" s="54" t="s">
        <v>1553</v>
      </c>
      <c r="T42" s="54" t="s">
        <v>1553</v>
      </c>
      <c r="U42" s="54" t="s">
        <v>1553</v>
      </c>
      <c r="V42" s="54" t="s">
        <v>1553</v>
      </c>
      <c r="X42" s="35">
        <v>37</v>
      </c>
      <c r="Y42" s="35">
        <v>30</v>
      </c>
      <c r="Z42" s="35" t="s">
        <v>167</v>
      </c>
      <c r="AD42" s="35" t="s">
        <v>1470</v>
      </c>
      <c r="AE42" s="35" t="s">
        <v>1740</v>
      </c>
      <c r="AF42" s="152" t="s">
        <v>159</v>
      </c>
      <c r="AG42" s="35" t="s">
        <v>1775</v>
      </c>
      <c r="AH42" s="154" t="s">
        <v>1797</v>
      </c>
      <c r="AR42" s="35" t="s">
        <v>147</v>
      </c>
      <c r="AS42" s="35">
        <v>4</v>
      </c>
      <c r="AT42" s="35">
        <v>4</v>
      </c>
      <c r="AU42" s="35" t="s">
        <v>169</v>
      </c>
      <c r="AV42" s="35">
        <v>470</v>
      </c>
      <c r="AY42" s="63"/>
      <c r="AZ42" s="35" t="s">
        <v>173</v>
      </c>
      <c r="BD42" s="35">
        <v>33800</v>
      </c>
      <c r="BE42" s="35">
        <v>33900</v>
      </c>
      <c r="DO42" s="35">
        <v>3010</v>
      </c>
      <c r="DP42" s="35">
        <v>3430</v>
      </c>
      <c r="EJ42" s="12"/>
      <c r="EL42" s="15"/>
      <c r="FT42" s="35">
        <v>3</v>
      </c>
    </row>
    <row r="43" spans="1:176" s="35" customFormat="1" x14ac:dyDescent="0.25">
      <c r="A43" s="35">
        <v>3</v>
      </c>
      <c r="B43" s="35" t="s">
        <v>163</v>
      </c>
      <c r="C43" s="35" t="s">
        <v>164</v>
      </c>
      <c r="D43" s="35">
        <v>2008</v>
      </c>
      <c r="E43" s="35">
        <v>2004</v>
      </c>
      <c r="F43" s="35" t="s">
        <v>165</v>
      </c>
      <c r="G43" s="35" t="s">
        <v>166</v>
      </c>
      <c r="H43" s="35">
        <v>49.69</v>
      </c>
      <c r="I43" s="35">
        <v>-112.84</v>
      </c>
      <c r="J43" s="35">
        <v>901</v>
      </c>
      <c r="P43" s="54">
        <v>2</v>
      </c>
      <c r="Q43" s="54"/>
      <c r="R43" s="54"/>
      <c r="S43" s="54" t="s">
        <v>1553</v>
      </c>
      <c r="T43" s="54" t="s">
        <v>1553</v>
      </c>
      <c r="U43" s="54" t="s">
        <v>1553</v>
      </c>
      <c r="V43" s="54" t="s">
        <v>1553</v>
      </c>
      <c r="X43" s="35">
        <v>37</v>
      </c>
      <c r="Y43" s="35">
        <v>30</v>
      </c>
      <c r="Z43" s="35" t="s">
        <v>167</v>
      </c>
      <c r="AD43" s="35" t="s">
        <v>1470</v>
      </c>
      <c r="AE43" s="35" t="s">
        <v>1741</v>
      </c>
      <c r="AF43" s="152" t="s">
        <v>159</v>
      </c>
      <c r="AG43" s="35" t="s">
        <v>1775</v>
      </c>
      <c r="AH43" s="154" t="s">
        <v>1797</v>
      </c>
      <c r="AR43" s="35" t="s">
        <v>147</v>
      </c>
      <c r="AS43" s="35">
        <v>4</v>
      </c>
      <c r="AT43" s="35">
        <v>4</v>
      </c>
      <c r="AU43" s="35" t="s">
        <v>169</v>
      </c>
      <c r="AV43" s="35">
        <v>6320</v>
      </c>
      <c r="AY43" s="63"/>
      <c r="AZ43" s="35" t="s">
        <v>173</v>
      </c>
      <c r="BD43" s="35">
        <v>28900</v>
      </c>
      <c r="BE43" s="35">
        <v>30800</v>
      </c>
      <c r="DO43" s="35">
        <v>530</v>
      </c>
      <c r="DP43" s="35">
        <v>460</v>
      </c>
      <c r="EJ43" s="12"/>
      <c r="EL43" s="15"/>
      <c r="FT43" s="35">
        <v>3</v>
      </c>
    </row>
    <row r="44" spans="1:176" s="35" customFormat="1" x14ac:dyDescent="0.25">
      <c r="A44" s="35">
        <v>3</v>
      </c>
      <c r="B44" s="35" t="s">
        <v>163</v>
      </c>
      <c r="C44" s="35" t="s">
        <v>164</v>
      </c>
      <c r="D44" s="35">
        <v>2008</v>
      </c>
      <c r="E44" s="35">
        <v>2004</v>
      </c>
      <c r="F44" s="35" t="s">
        <v>165</v>
      </c>
      <c r="G44" s="35" t="s">
        <v>166</v>
      </c>
      <c r="H44" s="35">
        <v>49.69</v>
      </c>
      <c r="I44" s="35">
        <v>-112.84</v>
      </c>
      <c r="J44" s="35">
        <v>901</v>
      </c>
      <c r="P44" s="54">
        <v>2</v>
      </c>
      <c r="Q44" s="54"/>
      <c r="R44" s="54"/>
      <c r="S44" s="54" t="s">
        <v>1553</v>
      </c>
      <c r="T44" s="54" t="s">
        <v>1553</v>
      </c>
      <c r="U44" s="54" t="s">
        <v>1553</v>
      </c>
      <c r="V44" s="54" t="s">
        <v>1553</v>
      </c>
      <c r="X44" s="35">
        <v>37</v>
      </c>
      <c r="Y44" s="35">
        <v>30</v>
      </c>
      <c r="Z44" s="35" t="s">
        <v>167</v>
      </c>
      <c r="AD44" s="35" t="s">
        <v>1470</v>
      </c>
      <c r="AE44" s="35" t="s">
        <v>1750</v>
      </c>
      <c r="AF44" s="152" t="s">
        <v>1761</v>
      </c>
      <c r="AG44" s="35" t="s">
        <v>1775</v>
      </c>
      <c r="AH44" s="154" t="s">
        <v>1797</v>
      </c>
      <c r="AR44" s="35" t="s">
        <v>147</v>
      </c>
      <c r="AS44" s="35">
        <v>4</v>
      </c>
      <c r="AT44" s="35">
        <v>4</v>
      </c>
      <c r="AU44" s="35" t="s">
        <v>169</v>
      </c>
      <c r="AV44" s="35">
        <v>990</v>
      </c>
      <c r="AY44" s="63"/>
      <c r="AZ44" s="35" t="s">
        <v>173</v>
      </c>
      <c r="BD44" s="35">
        <v>28900</v>
      </c>
      <c r="BE44" s="35">
        <v>30800</v>
      </c>
      <c r="DO44" s="35">
        <v>530</v>
      </c>
      <c r="DP44" s="35">
        <v>690</v>
      </c>
      <c r="EJ44" s="12"/>
      <c r="EL44" s="15"/>
      <c r="FT44" s="35">
        <v>3</v>
      </c>
    </row>
    <row r="45" spans="1:176" s="35" customFormat="1" x14ac:dyDescent="0.25">
      <c r="A45" s="35">
        <v>3</v>
      </c>
      <c r="B45" s="35" t="s">
        <v>163</v>
      </c>
      <c r="C45" s="35" t="s">
        <v>164</v>
      </c>
      <c r="D45" s="35">
        <v>2008</v>
      </c>
      <c r="E45" s="35">
        <v>2004</v>
      </c>
      <c r="F45" s="35" t="s">
        <v>165</v>
      </c>
      <c r="G45" s="35" t="s">
        <v>166</v>
      </c>
      <c r="H45" s="35">
        <v>49.69</v>
      </c>
      <c r="I45" s="35">
        <v>-112.84</v>
      </c>
      <c r="J45" s="35">
        <v>901</v>
      </c>
      <c r="P45" s="54">
        <v>2</v>
      </c>
      <c r="Q45" s="54"/>
      <c r="R45" s="54"/>
      <c r="S45" s="54" t="s">
        <v>1553</v>
      </c>
      <c r="T45" s="54" t="s">
        <v>1553</v>
      </c>
      <c r="U45" s="54" t="s">
        <v>1553</v>
      </c>
      <c r="V45" s="54" t="s">
        <v>1553</v>
      </c>
      <c r="X45" s="35">
        <v>37</v>
      </c>
      <c r="Y45" s="35">
        <v>30</v>
      </c>
      <c r="Z45" s="35" t="s">
        <v>167</v>
      </c>
      <c r="AD45" s="35" t="s">
        <v>1470</v>
      </c>
      <c r="AE45" s="35" t="s">
        <v>1751</v>
      </c>
      <c r="AF45" s="152" t="s">
        <v>1761</v>
      </c>
      <c r="AG45" s="35" t="s">
        <v>1775</v>
      </c>
      <c r="AH45" s="154" t="s">
        <v>1797</v>
      </c>
      <c r="AR45" s="35" t="s">
        <v>147</v>
      </c>
      <c r="AS45" s="35">
        <v>4</v>
      </c>
      <c r="AT45" s="35">
        <v>4</v>
      </c>
      <c r="AU45" s="35" t="s">
        <v>169</v>
      </c>
      <c r="AV45" s="35">
        <v>1070</v>
      </c>
      <c r="AY45" s="63"/>
      <c r="AZ45" s="35" t="s">
        <v>173</v>
      </c>
      <c r="BD45" s="35">
        <v>28900</v>
      </c>
      <c r="BE45" s="35">
        <v>31300</v>
      </c>
      <c r="DO45" s="35">
        <v>530</v>
      </c>
      <c r="DP45" s="35">
        <v>440</v>
      </c>
      <c r="EJ45" s="12"/>
      <c r="EL45" s="15"/>
      <c r="FT45" s="35">
        <v>3</v>
      </c>
    </row>
    <row r="46" spans="1:176" s="35" customFormat="1" x14ac:dyDescent="0.25">
      <c r="A46" s="35">
        <v>3</v>
      </c>
      <c r="B46" s="35" t="s">
        <v>163</v>
      </c>
      <c r="C46" s="35" t="s">
        <v>164</v>
      </c>
      <c r="D46" s="35">
        <v>2008</v>
      </c>
      <c r="E46" s="35">
        <v>2004</v>
      </c>
      <c r="F46" s="35" t="s">
        <v>165</v>
      </c>
      <c r="G46" s="35" t="s">
        <v>166</v>
      </c>
      <c r="H46" s="35">
        <v>49.69</v>
      </c>
      <c r="I46" s="35">
        <v>-112.84</v>
      </c>
      <c r="J46" s="35">
        <v>901</v>
      </c>
      <c r="P46" s="54">
        <v>2</v>
      </c>
      <c r="Q46" s="54"/>
      <c r="R46" s="54"/>
      <c r="S46" s="54" t="s">
        <v>1553</v>
      </c>
      <c r="T46" s="54" t="s">
        <v>1553</v>
      </c>
      <c r="U46" s="54" t="s">
        <v>1553</v>
      </c>
      <c r="V46" s="54" t="s">
        <v>1553</v>
      </c>
      <c r="X46" s="35">
        <v>37</v>
      </c>
      <c r="Y46" s="35">
        <v>30</v>
      </c>
      <c r="Z46" s="35" t="s">
        <v>167</v>
      </c>
      <c r="AD46" s="35" t="s">
        <v>1470</v>
      </c>
      <c r="AE46" s="35" t="s">
        <v>1742</v>
      </c>
      <c r="AF46" s="152" t="s">
        <v>159</v>
      </c>
      <c r="AG46" s="35" t="s">
        <v>1775</v>
      </c>
      <c r="AH46" s="154" t="s">
        <v>1797</v>
      </c>
      <c r="AR46" s="35" t="s">
        <v>147</v>
      </c>
      <c r="AS46" s="35">
        <v>4</v>
      </c>
      <c r="AT46" s="35">
        <v>4</v>
      </c>
      <c r="AU46" s="35" t="s">
        <v>169</v>
      </c>
      <c r="AV46" s="35">
        <v>1130</v>
      </c>
      <c r="AY46" s="63"/>
      <c r="AZ46" s="35" t="s">
        <v>173</v>
      </c>
      <c r="BD46" s="35">
        <v>28900</v>
      </c>
      <c r="BE46" s="35">
        <v>30400</v>
      </c>
      <c r="DO46" s="35">
        <v>530</v>
      </c>
      <c r="DP46" s="35">
        <v>820</v>
      </c>
      <c r="EJ46" s="12"/>
      <c r="EL46" s="15"/>
      <c r="FT46" s="35">
        <v>3</v>
      </c>
    </row>
    <row r="47" spans="1:176" s="35" customFormat="1" x14ac:dyDescent="0.25">
      <c r="A47" s="35">
        <v>3</v>
      </c>
      <c r="B47" s="35" t="s">
        <v>163</v>
      </c>
      <c r="C47" s="35" t="s">
        <v>164</v>
      </c>
      <c r="D47" s="35">
        <v>2008</v>
      </c>
      <c r="E47" s="35">
        <v>2004</v>
      </c>
      <c r="F47" s="35" t="s">
        <v>165</v>
      </c>
      <c r="G47" s="35" t="s">
        <v>166</v>
      </c>
      <c r="H47" s="35">
        <v>49.69</v>
      </c>
      <c r="I47" s="35">
        <v>-112.84</v>
      </c>
      <c r="J47" s="35">
        <v>901</v>
      </c>
      <c r="P47" s="54">
        <v>2</v>
      </c>
      <c r="Q47" s="54"/>
      <c r="R47" s="54"/>
      <c r="S47" s="54" t="s">
        <v>1553</v>
      </c>
      <c r="T47" s="54" t="s">
        <v>1553</v>
      </c>
      <c r="U47" s="54" t="s">
        <v>1553</v>
      </c>
      <c r="V47" s="54" t="s">
        <v>1553</v>
      </c>
      <c r="X47" s="35">
        <v>37</v>
      </c>
      <c r="Y47" s="35">
        <v>30</v>
      </c>
      <c r="Z47" s="35" t="s">
        <v>167</v>
      </c>
      <c r="AD47" s="35" t="s">
        <v>1470</v>
      </c>
      <c r="AE47" s="35" t="s">
        <v>1746</v>
      </c>
      <c r="AF47" s="152" t="s">
        <v>1761</v>
      </c>
      <c r="AG47" s="35" t="s">
        <v>1775</v>
      </c>
      <c r="AH47" s="154" t="s">
        <v>1797</v>
      </c>
      <c r="AR47" s="35" t="s">
        <v>147</v>
      </c>
      <c r="AS47" s="35">
        <v>4</v>
      </c>
      <c r="AT47" s="35">
        <v>4</v>
      </c>
      <c r="AU47" s="35" t="s">
        <v>169</v>
      </c>
      <c r="AV47" s="35">
        <v>560</v>
      </c>
      <c r="AY47" s="63"/>
      <c r="AZ47" s="35" t="s">
        <v>173</v>
      </c>
      <c r="BD47" s="35">
        <v>28900</v>
      </c>
      <c r="BE47" s="35">
        <v>29400</v>
      </c>
      <c r="DO47" s="35">
        <v>530</v>
      </c>
      <c r="DP47" s="35">
        <v>870</v>
      </c>
      <c r="EJ47" s="12"/>
      <c r="EL47" s="15"/>
      <c r="FT47" s="35">
        <v>3</v>
      </c>
    </row>
    <row r="48" spans="1:176" s="35" customFormat="1" x14ac:dyDescent="0.25">
      <c r="A48" s="35">
        <v>3</v>
      </c>
      <c r="B48" s="35" t="s">
        <v>163</v>
      </c>
      <c r="C48" s="35" t="s">
        <v>164</v>
      </c>
      <c r="D48" s="35">
        <v>2008</v>
      </c>
      <c r="E48" s="35">
        <v>2004</v>
      </c>
      <c r="F48" s="35" t="s">
        <v>165</v>
      </c>
      <c r="G48" s="35" t="s">
        <v>166</v>
      </c>
      <c r="H48" s="35">
        <v>49.69</v>
      </c>
      <c r="I48" s="35">
        <v>-112.84</v>
      </c>
      <c r="J48" s="35">
        <v>901</v>
      </c>
      <c r="P48" s="54">
        <v>2</v>
      </c>
      <c r="Q48" s="54"/>
      <c r="R48" s="54"/>
      <c r="S48" s="54" t="s">
        <v>1553</v>
      </c>
      <c r="T48" s="54" t="s">
        <v>1553</v>
      </c>
      <c r="U48" s="54" t="s">
        <v>1553</v>
      </c>
      <c r="V48" s="54" t="s">
        <v>1553</v>
      </c>
      <c r="X48" s="35">
        <v>37</v>
      </c>
      <c r="Y48" s="35">
        <v>30</v>
      </c>
      <c r="Z48" s="35" t="s">
        <v>167</v>
      </c>
      <c r="AD48" s="35" t="s">
        <v>1470</v>
      </c>
      <c r="AE48" s="35" t="s">
        <v>1747</v>
      </c>
      <c r="AF48" s="152" t="s">
        <v>1761</v>
      </c>
      <c r="AG48" s="35" t="s">
        <v>1775</v>
      </c>
      <c r="AH48" s="154" t="s">
        <v>1797</v>
      </c>
      <c r="AR48" s="35" t="s">
        <v>147</v>
      </c>
      <c r="AS48" s="35">
        <v>4</v>
      </c>
      <c r="AT48" s="35">
        <v>4</v>
      </c>
      <c r="AU48" s="35" t="s">
        <v>169</v>
      </c>
      <c r="AV48" s="35">
        <v>570</v>
      </c>
      <c r="AY48" s="63"/>
      <c r="AZ48" s="35" t="s">
        <v>173</v>
      </c>
      <c r="BD48" s="35">
        <v>28900</v>
      </c>
      <c r="BE48" s="35">
        <v>32300</v>
      </c>
      <c r="DO48" s="35">
        <v>530</v>
      </c>
      <c r="DP48" s="35">
        <v>410</v>
      </c>
      <c r="EJ48" s="12"/>
      <c r="EL48" s="15"/>
      <c r="FT48" s="35">
        <v>3</v>
      </c>
    </row>
    <row r="49" spans="1:176" s="35" customFormat="1" x14ac:dyDescent="0.25">
      <c r="A49" s="35">
        <v>3</v>
      </c>
      <c r="B49" s="35" t="s">
        <v>163</v>
      </c>
      <c r="C49" s="35" t="s">
        <v>164</v>
      </c>
      <c r="D49" s="35">
        <v>2008</v>
      </c>
      <c r="E49" s="35">
        <v>2004</v>
      </c>
      <c r="F49" s="35" t="s">
        <v>165</v>
      </c>
      <c r="G49" s="35" t="s">
        <v>166</v>
      </c>
      <c r="H49" s="35">
        <v>49.69</v>
      </c>
      <c r="I49" s="35">
        <v>-112.84</v>
      </c>
      <c r="J49" s="35">
        <v>901</v>
      </c>
      <c r="P49" s="54">
        <v>2</v>
      </c>
      <c r="Q49" s="54"/>
      <c r="R49" s="54"/>
      <c r="S49" s="54" t="s">
        <v>1553</v>
      </c>
      <c r="T49" s="54" t="s">
        <v>1553</v>
      </c>
      <c r="U49" s="54" t="s">
        <v>1553</v>
      </c>
      <c r="V49" s="54" t="s">
        <v>1553</v>
      </c>
      <c r="X49" s="35">
        <v>37</v>
      </c>
      <c r="Y49" s="35">
        <v>30</v>
      </c>
      <c r="Z49" s="35" t="s">
        <v>167</v>
      </c>
      <c r="AD49" s="35" t="s">
        <v>1470</v>
      </c>
      <c r="AE49" s="35" t="s">
        <v>1740</v>
      </c>
      <c r="AF49" s="152" t="s">
        <v>159</v>
      </c>
      <c r="AG49" s="35" t="s">
        <v>1775</v>
      </c>
      <c r="AH49" s="154" t="s">
        <v>1797</v>
      </c>
      <c r="AR49" s="35" t="s">
        <v>147</v>
      </c>
      <c r="AS49" s="35">
        <v>4</v>
      </c>
      <c r="AT49" s="35">
        <v>4</v>
      </c>
      <c r="AU49" s="35" t="s">
        <v>169</v>
      </c>
      <c r="AV49" s="35">
        <v>420</v>
      </c>
      <c r="AY49" s="63"/>
      <c r="AZ49" s="35" t="s">
        <v>173</v>
      </c>
      <c r="BD49" s="35">
        <v>28900</v>
      </c>
      <c r="BE49" s="35">
        <v>32000</v>
      </c>
      <c r="DO49" s="35">
        <v>530</v>
      </c>
      <c r="DP49" s="35">
        <v>750</v>
      </c>
      <c r="EJ49" s="12"/>
      <c r="EL49" s="15"/>
      <c r="FT49" s="35">
        <v>3</v>
      </c>
    </row>
    <row r="50" spans="1:176" s="35" customFormat="1" x14ac:dyDescent="0.25">
      <c r="A50" s="35">
        <v>3</v>
      </c>
      <c r="B50" s="35" t="s">
        <v>163</v>
      </c>
      <c r="C50" s="35" t="s">
        <v>164</v>
      </c>
      <c r="D50" s="35">
        <v>2008</v>
      </c>
      <c r="E50" s="35">
        <v>2005</v>
      </c>
      <c r="F50" s="35" t="s">
        <v>165</v>
      </c>
      <c r="G50" s="35" t="s">
        <v>166</v>
      </c>
      <c r="H50" s="35">
        <v>49.69</v>
      </c>
      <c r="I50" s="35">
        <v>-112.84</v>
      </c>
      <c r="J50" s="35">
        <v>901</v>
      </c>
      <c r="P50" s="54">
        <v>3</v>
      </c>
      <c r="Q50" s="54"/>
      <c r="R50" s="54"/>
      <c r="S50" s="54" t="s">
        <v>1553</v>
      </c>
      <c r="T50" s="54" t="s">
        <v>1553</v>
      </c>
      <c r="U50" s="54" t="s">
        <v>1553</v>
      </c>
      <c r="V50" s="54" t="s">
        <v>1553</v>
      </c>
      <c r="X50" s="35">
        <v>37</v>
      </c>
      <c r="Y50" s="35">
        <v>30</v>
      </c>
      <c r="Z50" s="35" t="s">
        <v>167</v>
      </c>
      <c r="AD50" s="35" t="s">
        <v>1470</v>
      </c>
      <c r="AE50" s="35" t="s">
        <v>1741</v>
      </c>
      <c r="AF50" s="152" t="s">
        <v>159</v>
      </c>
      <c r="AG50" s="35" t="s">
        <v>1775</v>
      </c>
      <c r="AH50" s="154" t="s">
        <v>1797</v>
      </c>
      <c r="AR50" s="35" t="s">
        <v>147</v>
      </c>
      <c r="AS50" s="35">
        <v>4</v>
      </c>
      <c r="AT50" s="35">
        <v>4</v>
      </c>
      <c r="AU50" s="35" t="s">
        <v>169</v>
      </c>
      <c r="AV50" s="35">
        <v>7940</v>
      </c>
      <c r="AY50" s="63"/>
      <c r="AZ50" s="35" t="s">
        <v>173</v>
      </c>
      <c r="BD50" s="35">
        <v>33100</v>
      </c>
      <c r="BE50" s="35">
        <v>32800</v>
      </c>
      <c r="DO50" s="35">
        <v>2460</v>
      </c>
      <c r="DP50" s="35">
        <v>1060</v>
      </c>
      <c r="EJ50" s="12"/>
      <c r="EL50" s="15"/>
      <c r="FT50" s="35">
        <v>3</v>
      </c>
    </row>
    <row r="51" spans="1:176" s="35" customFormat="1" x14ac:dyDescent="0.25">
      <c r="A51" s="35">
        <v>3</v>
      </c>
      <c r="B51" s="35" t="s">
        <v>163</v>
      </c>
      <c r="C51" s="35" t="s">
        <v>164</v>
      </c>
      <c r="D51" s="35">
        <v>2008</v>
      </c>
      <c r="E51" s="35">
        <v>2005</v>
      </c>
      <c r="F51" s="35" t="s">
        <v>165</v>
      </c>
      <c r="G51" s="35" t="s">
        <v>166</v>
      </c>
      <c r="H51" s="35">
        <v>49.69</v>
      </c>
      <c r="I51" s="35">
        <v>-112.84</v>
      </c>
      <c r="J51" s="35">
        <v>901</v>
      </c>
      <c r="P51" s="54">
        <v>3</v>
      </c>
      <c r="Q51" s="54"/>
      <c r="R51" s="54"/>
      <c r="S51" s="54" t="s">
        <v>1553</v>
      </c>
      <c r="T51" s="54" t="s">
        <v>1553</v>
      </c>
      <c r="U51" s="54" t="s">
        <v>1553</v>
      </c>
      <c r="V51" s="54" t="s">
        <v>1553</v>
      </c>
      <c r="X51" s="35">
        <v>37</v>
      </c>
      <c r="Y51" s="35">
        <v>30</v>
      </c>
      <c r="Z51" s="35" t="s">
        <v>167</v>
      </c>
      <c r="AD51" s="35" t="s">
        <v>1470</v>
      </c>
      <c r="AE51" s="35" t="s">
        <v>1750</v>
      </c>
      <c r="AF51" s="152" t="s">
        <v>1761</v>
      </c>
      <c r="AG51" s="35" t="s">
        <v>1775</v>
      </c>
      <c r="AH51" s="154" t="s">
        <v>1797</v>
      </c>
      <c r="AR51" s="35" t="s">
        <v>147</v>
      </c>
      <c r="AS51" s="35">
        <v>4</v>
      </c>
      <c r="AT51" s="35">
        <v>4</v>
      </c>
      <c r="AU51" s="35" t="s">
        <v>169</v>
      </c>
      <c r="AV51" s="35">
        <v>380</v>
      </c>
      <c r="AY51" s="63"/>
      <c r="AZ51" s="35" t="s">
        <v>173</v>
      </c>
      <c r="BD51" s="35">
        <v>33100</v>
      </c>
      <c r="BE51" s="35">
        <v>32400</v>
      </c>
      <c r="DO51" s="35">
        <v>2460</v>
      </c>
      <c r="DP51" s="35">
        <v>2820</v>
      </c>
      <c r="EJ51" s="12"/>
      <c r="EL51" s="15"/>
      <c r="FT51" s="35">
        <v>3</v>
      </c>
    </row>
    <row r="52" spans="1:176" s="35" customFormat="1" x14ac:dyDescent="0.25">
      <c r="A52" s="35">
        <v>3</v>
      </c>
      <c r="B52" s="35" t="s">
        <v>163</v>
      </c>
      <c r="C52" s="35" t="s">
        <v>164</v>
      </c>
      <c r="D52" s="35">
        <v>2008</v>
      </c>
      <c r="E52" s="35">
        <v>2005</v>
      </c>
      <c r="F52" s="35" t="s">
        <v>165</v>
      </c>
      <c r="G52" s="35" t="s">
        <v>166</v>
      </c>
      <c r="H52" s="35">
        <v>49.69</v>
      </c>
      <c r="I52" s="35">
        <v>-112.84</v>
      </c>
      <c r="J52" s="35">
        <v>901</v>
      </c>
      <c r="P52" s="54">
        <v>3</v>
      </c>
      <c r="Q52" s="54"/>
      <c r="R52" s="54"/>
      <c r="S52" s="54" t="s">
        <v>1553</v>
      </c>
      <c r="T52" s="54" t="s">
        <v>1553</v>
      </c>
      <c r="U52" s="54" t="s">
        <v>1553</v>
      </c>
      <c r="V52" s="54" t="s">
        <v>1553</v>
      </c>
      <c r="X52" s="35">
        <v>37</v>
      </c>
      <c r="Y52" s="35">
        <v>30</v>
      </c>
      <c r="Z52" s="35" t="s">
        <v>167</v>
      </c>
      <c r="AD52" s="35" t="s">
        <v>1470</v>
      </c>
      <c r="AE52" s="35" t="s">
        <v>1751</v>
      </c>
      <c r="AF52" s="152" t="s">
        <v>1761</v>
      </c>
      <c r="AG52" s="35" t="s">
        <v>1775</v>
      </c>
      <c r="AH52" s="154" t="s">
        <v>1797</v>
      </c>
      <c r="AR52" s="35" t="s">
        <v>147</v>
      </c>
      <c r="AS52" s="35">
        <v>4</v>
      </c>
      <c r="AT52" s="35">
        <v>4</v>
      </c>
      <c r="AU52" s="35" t="s">
        <v>169</v>
      </c>
      <c r="AV52" s="35">
        <v>400</v>
      </c>
      <c r="AY52" s="63"/>
      <c r="AZ52" s="35" t="s">
        <v>173</v>
      </c>
      <c r="BD52" s="35">
        <v>33100</v>
      </c>
      <c r="BE52" s="35">
        <v>32500</v>
      </c>
      <c r="DO52" s="35">
        <v>2460</v>
      </c>
      <c r="DP52" s="35">
        <v>2540</v>
      </c>
      <c r="EJ52" s="12"/>
      <c r="EL52" s="15"/>
      <c r="FT52" s="35">
        <v>3</v>
      </c>
    </row>
    <row r="53" spans="1:176" s="35" customFormat="1" x14ac:dyDescent="0.25">
      <c r="A53" s="35">
        <v>3</v>
      </c>
      <c r="B53" s="35" t="s">
        <v>163</v>
      </c>
      <c r="C53" s="35" t="s">
        <v>164</v>
      </c>
      <c r="D53" s="35">
        <v>2008</v>
      </c>
      <c r="E53" s="35">
        <v>2005</v>
      </c>
      <c r="F53" s="35" t="s">
        <v>165</v>
      </c>
      <c r="G53" s="35" t="s">
        <v>166</v>
      </c>
      <c r="H53" s="35">
        <v>49.69</v>
      </c>
      <c r="I53" s="35">
        <v>-112.84</v>
      </c>
      <c r="J53" s="35">
        <v>901</v>
      </c>
      <c r="P53" s="54">
        <v>3</v>
      </c>
      <c r="Q53" s="54"/>
      <c r="R53" s="54"/>
      <c r="S53" s="54" t="s">
        <v>1553</v>
      </c>
      <c r="T53" s="54" t="s">
        <v>1553</v>
      </c>
      <c r="U53" s="54" t="s">
        <v>1553</v>
      </c>
      <c r="V53" s="54" t="s">
        <v>1553</v>
      </c>
      <c r="X53" s="35">
        <v>37</v>
      </c>
      <c r="Y53" s="35">
        <v>30</v>
      </c>
      <c r="Z53" s="35" t="s">
        <v>167</v>
      </c>
      <c r="AD53" s="35" t="s">
        <v>1470</v>
      </c>
      <c r="AE53" s="35" t="s">
        <v>1742</v>
      </c>
      <c r="AF53" s="152" t="s">
        <v>159</v>
      </c>
      <c r="AG53" s="35" t="s">
        <v>1775</v>
      </c>
      <c r="AH53" s="154" t="s">
        <v>1797</v>
      </c>
      <c r="AR53" s="35" t="s">
        <v>147</v>
      </c>
      <c r="AS53" s="35">
        <v>4</v>
      </c>
      <c r="AT53" s="35">
        <v>4</v>
      </c>
      <c r="AU53" s="35" t="s">
        <v>169</v>
      </c>
      <c r="AV53" s="35">
        <v>1140</v>
      </c>
      <c r="AY53" s="63"/>
      <c r="AZ53" s="35" t="s">
        <v>173</v>
      </c>
      <c r="BD53" s="35">
        <v>33100</v>
      </c>
      <c r="BE53" s="35">
        <v>34000</v>
      </c>
      <c r="DO53" s="35">
        <v>2460</v>
      </c>
      <c r="DP53" s="35">
        <v>1980</v>
      </c>
      <c r="EJ53" s="12"/>
      <c r="EL53" s="15"/>
      <c r="FT53" s="35">
        <v>3</v>
      </c>
    </row>
    <row r="54" spans="1:176" s="35" customFormat="1" x14ac:dyDescent="0.25">
      <c r="A54" s="35">
        <v>3</v>
      </c>
      <c r="B54" s="35" t="s">
        <v>163</v>
      </c>
      <c r="C54" s="35" t="s">
        <v>164</v>
      </c>
      <c r="D54" s="35">
        <v>2008</v>
      </c>
      <c r="E54" s="35">
        <v>2005</v>
      </c>
      <c r="F54" s="35" t="s">
        <v>165</v>
      </c>
      <c r="G54" s="35" t="s">
        <v>166</v>
      </c>
      <c r="H54" s="35">
        <v>49.69</v>
      </c>
      <c r="I54" s="35">
        <v>-112.84</v>
      </c>
      <c r="J54" s="35">
        <v>901</v>
      </c>
      <c r="P54" s="54">
        <v>3</v>
      </c>
      <c r="Q54" s="54"/>
      <c r="R54" s="54"/>
      <c r="S54" s="54" t="s">
        <v>1553</v>
      </c>
      <c r="T54" s="54" t="s">
        <v>1553</v>
      </c>
      <c r="U54" s="54" t="s">
        <v>1553</v>
      </c>
      <c r="V54" s="54" t="s">
        <v>1553</v>
      </c>
      <c r="X54" s="35">
        <v>37</v>
      </c>
      <c r="Y54" s="35">
        <v>30</v>
      </c>
      <c r="Z54" s="35" t="s">
        <v>167</v>
      </c>
      <c r="AD54" s="35" t="s">
        <v>1470</v>
      </c>
      <c r="AE54" s="35" t="s">
        <v>1746</v>
      </c>
      <c r="AF54" s="152" t="s">
        <v>1761</v>
      </c>
      <c r="AG54" s="35" t="s">
        <v>1775</v>
      </c>
      <c r="AH54" s="154" t="s">
        <v>1797</v>
      </c>
      <c r="AR54" s="35" t="s">
        <v>147</v>
      </c>
      <c r="AS54" s="35">
        <v>4</v>
      </c>
      <c r="AT54" s="35">
        <v>4</v>
      </c>
      <c r="AU54" s="35" t="s">
        <v>169</v>
      </c>
      <c r="AV54" s="35">
        <v>190</v>
      </c>
      <c r="AY54" s="63"/>
      <c r="AZ54" s="35" t="s">
        <v>173</v>
      </c>
      <c r="BD54" s="35">
        <v>33100</v>
      </c>
      <c r="BE54" s="35">
        <v>30600</v>
      </c>
      <c r="DO54" s="35">
        <v>2460</v>
      </c>
      <c r="DP54" s="35">
        <v>1940</v>
      </c>
      <c r="EJ54" s="12"/>
      <c r="EL54" s="15"/>
      <c r="FT54" s="35">
        <v>3</v>
      </c>
    </row>
    <row r="55" spans="1:176" s="35" customFormat="1" x14ac:dyDescent="0.25">
      <c r="A55" s="35">
        <v>3</v>
      </c>
      <c r="B55" s="35" t="s">
        <v>163</v>
      </c>
      <c r="C55" s="35" t="s">
        <v>164</v>
      </c>
      <c r="D55" s="35">
        <v>2008</v>
      </c>
      <c r="E55" s="35">
        <v>2005</v>
      </c>
      <c r="F55" s="35" t="s">
        <v>165</v>
      </c>
      <c r="G55" s="35" t="s">
        <v>166</v>
      </c>
      <c r="H55" s="35">
        <v>49.69</v>
      </c>
      <c r="I55" s="35">
        <v>-112.84</v>
      </c>
      <c r="J55" s="35">
        <v>901</v>
      </c>
      <c r="P55" s="54">
        <v>3</v>
      </c>
      <c r="Q55" s="54"/>
      <c r="R55" s="54"/>
      <c r="S55" s="54" t="s">
        <v>1553</v>
      </c>
      <c r="T55" s="54" t="s">
        <v>1553</v>
      </c>
      <c r="U55" s="54" t="s">
        <v>1553</v>
      </c>
      <c r="V55" s="54" t="s">
        <v>1553</v>
      </c>
      <c r="X55" s="35">
        <v>37</v>
      </c>
      <c r="Y55" s="35">
        <v>30</v>
      </c>
      <c r="Z55" s="35" t="s">
        <v>167</v>
      </c>
      <c r="AD55" s="35" t="s">
        <v>1470</v>
      </c>
      <c r="AE55" s="35" t="s">
        <v>1747</v>
      </c>
      <c r="AF55" s="152" t="s">
        <v>1761</v>
      </c>
      <c r="AG55" s="35" t="s">
        <v>1775</v>
      </c>
      <c r="AH55" s="154" t="s">
        <v>1797</v>
      </c>
      <c r="AR55" s="35" t="s">
        <v>147</v>
      </c>
      <c r="AS55" s="35">
        <v>4</v>
      </c>
      <c r="AT55" s="35">
        <v>4</v>
      </c>
      <c r="AU55" s="35" t="s">
        <v>169</v>
      </c>
      <c r="AV55" s="35">
        <v>280</v>
      </c>
      <c r="AY55" s="63"/>
      <c r="AZ55" s="35" t="s">
        <v>173</v>
      </c>
      <c r="BD55" s="35">
        <v>33100</v>
      </c>
      <c r="BE55" s="35">
        <v>30900</v>
      </c>
      <c r="DO55" s="35">
        <v>2460</v>
      </c>
      <c r="DP55" s="35">
        <v>1910</v>
      </c>
      <c r="EJ55" s="12"/>
      <c r="EL55" s="15"/>
      <c r="FT55" s="35">
        <v>3</v>
      </c>
    </row>
    <row r="56" spans="1:176" s="35" customFormat="1" x14ac:dyDescent="0.25">
      <c r="A56" s="35">
        <v>3</v>
      </c>
      <c r="B56" s="35" t="s">
        <v>163</v>
      </c>
      <c r="C56" s="35" t="s">
        <v>164</v>
      </c>
      <c r="D56" s="35">
        <v>2008</v>
      </c>
      <c r="E56" s="35">
        <v>2005</v>
      </c>
      <c r="F56" s="35" t="s">
        <v>165</v>
      </c>
      <c r="G56" s="35" t="s">
        <v>166</v>
      </c>
      <c r="H56" s="35">
        <v>49.69</v>
      </c>
      <c r="I56" s="35">
        <v>-112.84</v>
      </c>
      <c r="J56" s="35">
        <v>901</v>
      </c>
      <c r="P56" s="54">
        <v>3</v>
      </c>
      <c r="Q56" s="54"/>
      <c r="R56" s="54"/>
      <c r="S56" s="54" t="s">
        <v>1553</v>
      </c>
      <c r="T56" s="54" t="s">
        <v>1553</v>
      </c>
      <c r="U56" s="54" t="s">
        <v>1553</v>
      </c>
      <c r="V56" s="54" t="s">
        <v>1553</v>
      </c>
      <c r="X56" s="35">
        <v>37</v>
      </c>
      <c r="Y56" s="35">
        <v>30</v>
      </c>
      <c r="Z56" s="35" t="s">
        <v>167</v>
      </c>
      <c r="AD56" s="35" t="s">
        <v>1470</v>
      </c>
      <c r="AE56" s="35" t="s">
        <v>1740</v>
      </c>
      <c r="AF56" s="152" t="s">
        <v>159</v>
      </c>
      <c r="AG56" s="35" t="s">
        <v>1775</v>
      </c>
      <c r="AH56" s="154" t="s">
        <v>1797</v>
      </c>
      <c r="AR56" s="35" t="s">
        <v>147</v>
      </c>
      <c r="AS56" s="35">
        <v>4</v>
      </c>
      <c r="AT56" s="35">
        <v>4</v>
      </c>
      <c r="AU56" s="35" t="s">
        <v>169</v>
      </c>
      <c r="AV56" s="35">
        <v>230</v>
      </c>
      <c r="AY56" s="63"/>
      <c r="AZ56" s="35" t="s">
        <v>173</v>
      </c>
      <c r="BD56" s="35">
        <v>33100</v>
      </c>
      <c r="BE56" s="35">
        <v>30500</v>
      </c>
      <c r="DO56" s="35">
        <v>2460</v>
      </c>
      <c r="DP56" s="35">
        <v>2070</v>
      </c>
      <c r="EJ56" s="12"/>
      <c r="EL56" s="15"/>
      <c r="FT56" s="35">
        <v>3</v>
      </c>
    </row>
    <row r="57" spans="1:176" s="169" customFormat="1" x14ac:dyDescent="0.25">
      <c r="A57" s="169">
        <v>4</v>
      </c>
      <c r="B57" s="169" t="s">
        <v>178</v>
      </c>
      <c r="C57" s="169" t="s">
        <v>179</v>
      </c>
      <c r="D57" s="169">
        <v>2010</v>
      </c>
      <c r="E57" s="169">
        <f>(1995+2009)/2</f>
        <v>2002</v>
      </c>
      <c r="F57" s="169" t="s">
        <v>180</v>
      </c>
      <c r="G57" s="169" t="s">
        <v>181</v>
      </c>
      <c r="H57" s="169">
        <v>38.14</v>
      </c>
      <c r="I57" s="169">
        <v>-97.43</v>
      </c>
      <c r="J57" s="169">
        <v>450</v>
      </c>
      <c r="L57" s="169">
        <v>14.4</v>
      </c>
      <c r="N57" s="169">
        <v>874</v>
      </c>
      <c r="P57" s="171" t="s">
        <v>1922</v>
      </c>
      <c r="Q57" s="171" t="s">
        <v>1620</v>
      </c>
      <c r="R57" s="171"/>
      <c r="S57" s="171" t="s">
        <v>1556</v>
      </c>
      <c r="T57" s="171" t="s">
        <v>1556</v>
      </c>
      <c r="U57" s="171" t="s">
        <v>1558</v>
      </c>
      <c r="V57" s="171" t="s">
        <v>1904</v>
      </c>
      <c r="Z57" s="169" t="s">
        <v>531</v>
      </c>
      <c r="AD57" s="169" t="s">
        <v>1471</v>
      </c>
      <c r="AE57" s="169" t="s">
        <v>190</v>
      </c>
      <c r="AF57" s="169" t="s">
        <v>666</v>
      </c>
      <c r="AG57" s="169" t="s">
        <v>1770</v>
      </c>
      <c r="AH57" s="156" t="s">
        <v>1800</v>
      </c>
      <c r="AI57" s="169" t="s">
        <v>189</v>
      </c>
      <c r="AJ57" s="169" t="s">
        <v>189</v>
      </c>
      <c r="AK57" s="169" t="s">
        <v>212</v>
      </c>
      <c r="AL57" s="169" t="s">
        <v>188</v>
      </c>
      <c r="AM57" s="169" t="s">
        <v>188</v>
      </c>
      <c r="AN57" s="169" t="s">
        <v>212</v>
      </c>
      <c r="AO57" s="169" t="s">
        <v>193</v>
      </c>
      <c r="AP57" s="169" t="s">
        <v>193</v>
      </c>
      <c r="AQ57" s="169" t="s">
        <v>212</v>
      </c>
      <c r="AR57" s="169" t="s">
        <v>192</v>
      </c>
      <c r="AS57" s="169">
        <v>4</v>
      </c>
      <c r="AT57" s="169">
        <v>4</v>
      </c>
      <c r="AU57" s="169" t="s">
        <v>169</v>
      </c>
      <c r="BF57" s="172"/>
      <c r="BG57" s="169">
        <v>1.698</v>
      </c>
      <c r="BH57" s="169">
        <v>1.6326000000000001</v>
      </c>
      <c r="BJ57" s="169">
        <f>13.681/10</f>
        <v>1.3680999999999999</v>
      </c>
      <c r="BK57" s="169">
        <f>16.9325/10</f>
        <v>1.6932500000000001</v>
      </c>
      <c r="BL57" s="169" t="s">
        <v>195</v>
      </c>
      <c r="CH57" s="169">
        <v>24</v>
      </c>
      <c r="CI57" s="169">
        <v>44</v>
      </c>
      <c r="CJ57" s="169" t="s">
        <v>1925</v>
      </c>
      <c r="CN57" s="139">
        <v>0.86129999999999995</v>
      </c>
      <c r="CO57" s="139">
        <v>0.80740000000000001</v>
      </c>
      <c r="CP57" s="139" t="s">
        <v>1621</v>
      </c>
      <c r="CQ57" s="169">
        <f>(1.1169+4.1126+5.577+10.9731)/4</f>
        <v>5.4449000000000005</v>
      </c>
      <c r="CR57" s="169">
        <f>(0.4534+10.1059+14.3185+18.7023)/4</f>
        <v>10.895025</v>
      </c>
      <c r="CS57" s="169" t="s">
        <v>1924</v>
      </c>
      <c r="DF57" s="169">
        <v>21.817599999999999</v>
      </c>
      <c r="DG57" s="169">
        <v>18.354199999999999</v>
      </c>
      <c r="DI57" s="169">
        <v>15.68</v>
      </c>
      <c r="DJ57" s="169">
        <v>16.837</v>
      </c>
      <c r="EA57" s="169">
        <v>92.7</v>
      </c>
      <c r="EB57" s="169">
        <v>372.7</v>
      </c>
      <c r="EC57" s="170" t="s">
        <v>1838</v>
      </c>
      <c r="ED57" s="170"/>
      <c r="EE57" s="170"/>
      <c r="EF57" s="170"/>
      <c r="EG57" s="170"/>
      <c r="EH57" s="170"/>
      <c r="EI57" s="170"/>
      <c r="FR57" s="169" t="s">
        <v>811</v>
      </c>
      <c r="FT57" s="169">
        <v>4</v>
      </c>
    </row>
    <row r="58" spans="1:176" s="24" customFormat="1" x14ac:dyDescent="0.25">
      <c r="A58" s="24">
        <v>4</v>
      </c>
      <c r="B58" s="24" t="s">
        <v>178</v>
      </c>
      <c r="C58" s="24" t="s">
        <v>179</v>
      </c>
      <c r="D58" s="24">
        <v>2010</v>
      </c>
      <c r="E58" s="24">
        <f>(1995+2009)/2</f>
        <v>2002</v>
      </c>
      <c r="F58" s="24" t="s">
        <v>180</v>
      </c>
      <c r="G58" s="24" t="s">
        <v>181</v>
      </c>
      <c r="H58" s="24">
        <v>38.14</v>
      </c>
      <c r="I58" s="24">
        <v>-97.43</v>
      </c>
      <c r="J58" s="24">
        <v>450</v>
      </c>
      <c r="L58" s="24">
        <v>14.4</v>
      </c>
      <c r="N58" s="24">
        <v>874</v>
      </c>
      <c r="P58" s="55" t="s">
        <v>1922</v>
      </c>
      <c r="Q58" s="55" t="s">
        <v>1620</v>
      </c>
      <c r="R58" s="55"/>
      <c r="S58" s="55" t="s">
        <v>1557</v>
      </c>
      <c r="T58" s="55" t="s">
        <v>1556</v>
      </c>
      <c r="U58" s="55" t="s">
        <v>1558</v>
      </c>
      <c r="V58" s="55" t="s">
        <v>1904</v>
      </c>
      <c r="Z58" s="24" t="s">
        <v>531</v>
      </c>
      <c r="AD58" s="24" t="s">
        <v>1471</v>
      </c>
      <c r="AE58" s="24" t="s">
        <v>190</v>
      </c>
      <c r="AF58" s="152" t="s">
        <v>666</v>
      </c>
      <c r="AG58" s="24" t="s">
        <v>1770</v>
      </c>
      <c r="AH58" s="156" t="s">
        <v>1800</v>
      </c>
      <c r="AI58" s="24" t="s">
        <v>189</v>
      </c>
      <c r="AJ58" s="24" t="s">
        <v>189</v>
      </c>
      <c r="AK58" s="24" t="s">
        <v>212</v>
      </c>
      <c r="AL58" s="24" t="s">
        <v>188</v>
      </c>
      <c r="AM58" s="24" t="s">
        <v>188</v>
      </c>
      <c r="AN58" s="24" t="s">
        <v>212</v>
      </c>
      <c r="AO58" s="24" t="s">
        <v>193</v>
      </c>
      <c r="AP58" s="24" t="s">
        <v>193</v>
      </c>
      <c r="AQ58" s="24" t="s">
        <v>212</v>
      </c>
      <c r="AR58" s="24" t="s">
        <v>192</v>
      </c>
      <c r="AS58" s="24">
        <v>4</v>
      </c>
      <c r="AT58" s="24">
        <v>4</v>
      </c>
      <c r="AU58" s="24" t="s">
        <v>169</v>
      </c>
      <c r="AY58" s="65"/>
      <c r="BF58" s="25"/>
      <c r="BG58" s="24">
        <v>1.6915</v>
      </c>
      <c r="BH58" s="24">
        <v>1.6998</v>
      </c>
      <c r="BJ58" s="24">
        <f>10.3067/10</f>
        <v>1.03067</v>
      </c>
      <c r="BK58" s="24">
        <f>10.7055/10</f>
        <v>1.0705500000000001</v>
      </c>
      <c r="BL58" s="24" t="s">
        <v>195</v>
      </c>
      <c r="CH58" s="24">
        <v>14</v>
      </c>
      <c r="CI58" s="24">
        <v>24</v>
      </c>
      <c r="CJ58" s="169" t="s">
        <v>1925</v>
      </c>
      <c r="CN58" s="139">
        <v>0.86129999999999995</v>
      </c>
      <c r="CO58" s="139">
        <f>(1.0549+0.9738)/2</f>
        <v>1.0143499999999999</v>
      </c>
      <c r="CP58" s="139" t="s">
        <v>1621</v>
      </c>
      <c r="CQ58" s="139">
        <f>(1.12+3.14+5.7)/3</f>
        <v>3.3200000000000003</v>
      </c>
      <c r="CR58" s="139">
        <f>(1.88+6.2+11.22)/3</f>
        <v>6.4333333333333336</v>
      </c>
      <c r="CS58" s="169" t="s">
        <v>1923</v>
      </c>
      <c r="DF58" s="24">
        <v>18.5625</v>
      </c>
      <c r="DG58" s="24">
        <v>16.010400000000001</v>
      </c>
      <c r="DI58" s="24">
        <v>15.21</v>
      </c>
      <c r="DJ58" s="24">
        <v>16.279</v>
      </c>
      <c r="EC58" s="15"/>
      <c r="ED58" s="15"/>
      <c r="EE58" s="15"/>
      <c r="EF58" s="15"/>
      <c r="EG58" s="15"/>
      <c r="EH58" s="15"/>
      <c r="EI58" s="15"/>
      <c r="FR58" s="24" t="s">
        <v>811</v>
      </c>
      <c r="FT58" s="24">
        <v>4</v>
      </c>
    </row>
    <row r="59" spans="1:176" s="169" customFormat="1" x14ac:dyDescent="0.25">
      <c r="A59" s="169">
        <v>4</v>
      </c>
      <c r="B59" s="169" t="s">
        <v>178</v>
      </c>
      <c r="C59" s="169" t="s">
        <v>179</v>
      </c>
      <c r="D59" s="169">
        <v>2010</v>
      </c>
      <c r="E59" s="169">
        <f t="shared" ref="E59:E64" si="0">(1995+2009)/2</f>
        <v>2002</v>
      </c>
      <c r="F59" s="169" t="s">
        <v>180</v>
      </c>
      <c r="G59" s="169" t="s">
        <v>181</v>
      </c>
      <c r="H59" s="169">
        <v>38.14</v>
      </c>
      <c r="I59" s="169">
        <v>-97.43</v>
      </c>
      <c r="J59" s="169">
        <v>450</v>
      </c>
      <c r="L59" s="169">
        <v>14.4</v>
      </c>
      <c r="N59" s="169">
        <v>874</v>
      </c>
      <c r="P59" s="171" t="s">
        <v>1922</v>
      </c>
      <c r="Q59" s="171" t="s">
        <v>1620</v>
      </c>
      <c r="R59" s="171"/>
      <c r="S59" s="171" t="s">
        <v>1556</v>
      </c>
      <c r="T59" s="171" t="s">
        <v>1556</v>
      </c>
      <c r="U59" s="171" t="s">
        <v>1558</v>
      </c>
      <c r="V59" s="171" t="s">
        <v>1904</v>
      </c>
      <c r="Z59" s="169" t="s">
        <v>531</v>
      </c>
      <c r="AD59" s="169" t="s">
        <v>1471</v>
      </c>
      <c r="AE59" s="169" t="s">
        <v>191</v>
      </c>
      <c r="AF59" s="152" t="s">
        <v>666</v>
      </c>
      <c r="AG59" s="169" t="s">
        <v>1770</v>
      </c>
      <c r="AH59" s="156" t="s">
        <v>1800</v>
      </c>
      <c r="AI59" s="169" t="s">
        <v>189</v>
      </c>
      <c r="AJ59" s="169" t="s">
        <v>189</v>
      </c>
      <c r="AK59" s="169" t="s">
        <v>212</v>
      </c>
      <c r="AL59" s="169" t="s">
        <v>188</v>
      </c>
      <c r="AM59" s="169" t="s">
        <v>188</v>
      </c>
      <c r="AN59" s="169" t="s">
        <v>212</v>
      </c>
      <c r="AO59" s="169" t="s">
        <v>193</v>
      </c>
      <c r="AP59" s="169" t="s">
        <v>193</v>
      </c>
      <c r="AQ59" s="169" t="s">
        <v>212</v>
      </c>
      <c r="AR59" s="169" t="s">
        <v>192</v>
      </c>
      <c r="AS59" s="169">
        <v>4</v>
      </c>
      <c r="AT59" s="169">
        <v>4</v>
      </c>
      <c r="AU59" s="169" t="s">
        <v>169</v>
      </c>
      <c r="BF59" s="172"/>
      <c r="BG59" s="169">
        <v>1.698</v>
      </c>
      <c r="BH59" s="169">
        <v>1.6104000000000001</v>
      </c>
      <c r="BJ59" s="169">
        <f>13.681/10</f>
        <v>1.3680999999999999</v>
      </c>
      <c r="BK59" s="169">
        <f>18.1595/10</f>
        <v>1.8159500000000002</v>
      </c>
      <c r="BL59" s="169" t="s">
        <v>195</v>
      </c>
      <c r="CH59" s="169">
        <v>24</v>
      </c>
      <c r="CI59" s="169">
        <v>41</v>
      </c>
      <c r="CJ59" s="169" t="s">
        <v>1925</v>
      </c>
      <c r="CN59" s="139">
        <v>0.86129999999999995</v>
      </c>
      <c r="CO59" s="139">
        <v>0.89339999999999997</v>
      </c>
      <c r="CP59" s="139" t="s">
        <v>1621</v>
      </c>
      <c r="CQ59" s="169">
        <f t="shared" ref="CQ59" si="1">(1.1169+4.1126+5.577+10.9731)/4</f>
        <v>5.4449000000000005</v>
      </c>
      <c r="CR59" s="169">
        <f>(5.8369+13.6663+17.0158+24.68)/4</f>
        <v>15.29975</v>
      </c>
      <c r="CS59" s="169" t="s">
        <v>1924</v>
      </c>
      <c r="DF59" s="169">
        <v>21.817599999999999</v>
      </c>
      <c r="DG59" s="169">
        <v>18.197900000000001</v>
      </c>
      <c r="DI59" s="169">
        <v>15.68</v>
      </c>
      <c r="DJ59" s="169">
        <v>17.727</v>
      </c>
      <c r="EA59" s="169">
        <v>92.7</v>
      </c>
      <c r="EB59" s="169">
        <v>623.6</v>
      </c>
      <c r="EC59" s="170" t="s">
        <v>1838</v>
      </c>
      <c r="ED59" s="170"/>
      <c r="EE59" s="170"/>
      <c r="EF59" s="170"/>
      <c r="EG59" s="170"/>
      <c r="EH59" s="170"/>
      <c r="EI59" s="170"/>
      <c r="FR59" s="169" t="s">
        <v>811</v>
      </c>
      <c r="FT59" s="169">
        <v>4</v>
      </c>
    </row>
    <row r="60" spans="1:176" s="24" customFormat="1" x14ac:dyDescent="0.25">
      <c r="A60" s="24">
        <v>4</v>
      </c>
      <c r="B60" s="24" t="s">
        <v>178</v>
      </c>
      <c r="C60" s="24" t="s">
        <v>179</v>
      </c>
      <c r="D60" s="24">
        <v>2010</v>
      </c>
      <c r="E60" s="24">
        <f t="shared" si="0"/>
        <v>2002</v>
      </c>
      <c r="F60" s="24" t="s">
        <v>180</v>
      </c>
      <c r="G60" s="24" t="s">
        <v>181</v>
      </c>
      <c r="H60" s="24">
        <v>38.14</v>
      </c>
      <c r="I60" s="24">
        <v>-97.43</v>
      </c>
      <c r="J60" s="24">
        <v>450</v>
      </c>
      <c r="L60" s="24">
        <v>14.4</v>
      </c>
      <c r="N60" s="24">
        <v>874</v>
      </c>
      <c r="P60" s="55" t="s">
        <v>1922</v>
      </c>
      <c r="Q60" s="55" t="s">
        <v>1620</v>
      </c>
      <c r="R60" s="55"/>
      <c r="S60" s="55" t="s">
        <v>1557</v>
      </c>
      <c r="T60" s="55" t="s">
        <v>1556</v>
      </c>
      <c r="U60" s="55" t="s">
        <v>1558</v>
      </c>
      <c r="V60" s="55" t="s">
        <v>1904</v>
      </c>
      <c r="Z60" s="24" t="s">
        <v>531</v>
      </c>
      <c r="AD60" s="24" t="s">
        <v>1471</v>
      </c>
      <c r="AE60" s="24" t="s">
        <v>191</v>
      </c>
      <c r="AF60" s="152" t="s">
        <v>666</v>
      </c>
      <c r="AG60" s="24" t="s">
        <v>1770</v>
      </c>
      <c r="AH60" s="156" t="s">
        <v>1800</v>
      </c>
      <c r="AI60" s="24" t="s">
        <v>189</v>
      </c>
      <c r="AJ60" s="24" t="s">
        <v>189</v>
      </c>
      <c r="AK60" s="24" t="s">
        <v>212</v>
      </c>
      <c r="AL60" s="24" t="s">
        <v>188</v>
      </c>
      <c r="AM60" s="24" t="s">
        <v>188</v>
      </c>
      <c r="AN60" s="24" t="s">
        <v>212</v>
      </c>
      <c r="AO60" s="24" t="s">
        <v>193</v>
      </c>
      <c r="AP60" s="24" t="s">
        <v>193</v>
      </c>
      <c r="AQ60" s="24" t="s">
        <v>212</v>
      </c>
      <c r="AR60" s="24" t="s">
        <v>192</v>
      </c>
      <c r="AS60" s="24">
        <v>4</v>
      </c>
      <c r="AT60" s="24">
        <v>4</v>
      </c>
      <c r="AU60" s="24" t="s">
        <v>169</v>
      </c>
      <c r="AY60" s="65"/>
      <c r="BF60" s="25"/>
      <c r="BG60" s="24">
        <v>1.6915</v>
      </c>
      <c r="BH60" s="24">
        <v>1.6932</v>
      </c>
      <c r="BJ60" s="24">
        <f>10.3067/10</f>
        <v>1.03067</v>
      </c>
      <c r="BK60" s="24">
        <f>10.6135/10</f>
        <v>1.06135</v>
      </c>
      <c r="BL60" s="24" t="s">
        <v>195</v>
      </c>
      <c r="CH60" s="24">
        <v>14</v>
      </c>
      <c r="CI60" s="24">
        <v>18</v>
      </c>
      <c r="CJ60" s="169" t="s">
        <v>1925</v>
      </c>
      <c r="CN60" s="139">
        <v>0.86129999999999995</v>
      </c>
      <c r="CO60" s="139">
        <v>0.77500000000000002</v>
      </c>
      <c r="CP60" s="139" t="s">
        <v>1621</v>
      </c>
      <c r="CQ60" s="139">
        <f>(1.12+3.14+5.7)/3</f>
        <v>3.3200000000000003</v>
      </c>
      <c r="CR60" s="139">
        <f>(1.88+7.73+15.54)/3</f>
        <v>8.3833333333333329</v>
      </c>
      <c r="CS60" s="169" t="s">
        <v>1923</v>
      </c>
      <c r="DF60" s="24">
        <v>18.5625</v>
      </c>
      <c r="DG60" s="24">
        <v>16.244800000000001</v>
      </c>
      <c r="DI60" s="24">
        <v>15.21</v>
      </c>
      <c r="DJ60" s="24">
        <v>16.788</v>
      </c>
      <c r="EJ60" s="12"/>
      <c r="EL60" s="15"/>
      <c r="FR60" s="24" t="s">
        <v>811</v>
      </c>
      <c r="FT60" s="24">
        <v>4</v>
      </c>
    </row>
    <row r="61" spans="1:176" s="24" customFormat="1" x14ac:dyDescent="0.25">
      <c r="A61" s="24">
        <v>4</v>
      </c>
      <c r="B61" s="24" t="s">
        <v>178</v>
      </c>
      <c r="C61" s="24" t="s">
        <v>179</v>
      </c>
      <c r="D61" s="24">
        <v>2010</v>
      </c>
      <c r="E61" s="24">
        <f t="shared" si="0"/>
        <v>2002</v>
      </c>
      <c r="F61" s="24" t="s">
        <v>180</v>
      </c>
      <c r="G61" s="24" t="s">
        <v>181</v>
      </c>
      <c r="H61" s="24">
        <v>38.14</v>
      </c>
      <c r="I61" s="24">
        <v>-97.43</v>
      </c>
      <c r="J61" s="24">
        <v>450</v>
      </c>
      <c r="L61" s="24">
        <v>14.4</v>
      </c>
      <c r="N61" s="24">
        <v>874</v>
      </c>
      <c r="P61" s="55" t="s">
        <v>1922</v>
      </c>
      <c r="Q61" s="55" t="s">
        <v>1620</v>
      </c>
      <c r="R61" s="55"/>
      <c r="S61" s="55" t="s">
        <v>1556</v>
      </c>
      <c r="T61" s="55" t="s">
        <v>1556</v>
      </c>
      <c r="U61" s="55" t="s">
        <v>1558</v>
      </c>
      <c r="V61" s="55" t="s">
        <v>1904</v>
      </c>
      <c r="Z61" s="24" t="s">
        <v>531</v>
      </c>
      <c r="AD61" s="24" t="s">
        <v>1471</v>
      </c>
      <c r="AE61" s="24" t="s">
        <v>190</v>
      </c>
      <c r="AF61" s="152" t="s">
        <v>666</v>
      </c>
      <c r="AG61" s="24" t="s">
        <v>1770</v>
      </c>
      <c r="AH61" s="156" t="s">
        <v>1800</v>
      </c>
      <c r="AI61" s="24" t="s">
        <v>189</v>
      </c>
      <c r="AJ61" s="24" t="s">
        <v>189</v>
      </c>
      <c r="AK61" s="24" t="s">
        <v>212</v>
      </c>
      <c r="AL61" s="24" t="s">
        <v>188</v>
      </c>
      <c r="AM61" s="24" t="s">
        <v>188</v>
      </c>
      <c r="AN61" s="24" t="s">
        <v>212</v>
      </c>
      <c r="AO61" s="24" t="s">
        <v>194</v>
      </c>
      <c r="AP61" s="24" t="s">
        <v>194</v>
      </c>
      <c r="AQ61" s="24" t="s">
        <v>212</v>
      </c>
      <c r="AR61" s="24" t="s">
        <v>192</v>
      </c>
      <c r="AS61" s="24">
        <v>4</v>
      </c>
      <c r="AT61" s="24">
        <v>4</v>
      </c>
      <c r="AU61" s="24" t="s">
        <v>169</v>
      </c>
      <c r="AY61" s="65"/>
      <c r="BF61" s="25"/>
      <c r="BG61" s="24">
        <v>1.6419999999999999</v>
      </c>
      <c r="BH61" s="24">
        <v>1.6059000000000001</v>
      </c>
      <c r="BJ61" s="24">
        <f>13.681/10</f>
        <v>1.3680999999999999</v>
      </c>
      <c r="BK61" s="24">
        <f>17.3313/10</f>
        <v>1.7331299999999998</v>
      </c>
      <c r="BL61" s="24" t="s">
        <v>195</v>
      </c>
      <c r="CH61" s="24">
        <v>115</v>
      </c>
      <c r="CI61" s="24">
        <v>138</v>
      </c>
      <c r="CJ61" s="24" t="s">
        <v>1622</v>
      </c>
      <c r="DI61" s="24">
        <f>0.1693*100</f>
        <v>16.93</v>
      </c>
      <c r="DJ61" s="24">
        <f>0.18*100</f>
        <v>18</v>
      </c>
      <c r="EJ61" s="12"/>
      <c r="EL61" s="15"/>
      <c r="FR61" s="24" t="s">
        <v>811</v>
      </c>
      <c r="FT61" s="24">
        <v>4</v>
      </c>
    </row>
    <row r="62" spans="1:176" s="24" customFormat="1" x14ac:dyDescent="0.25">
      <c r="A62" s="24">
        <v>4</v>
      </c>
      <c r="B62" s="24" t="s">
        <v>178</v>
      </c>
      <c r="C62" s="24" t="s">
        <v>179</v>
      </c>
      <c r="D62" s="24">
        <v>2010</v>
      </c>
      <c r="E62" s="24">
        <f t="shared" si="0"/>
        <v>2002</v>
      </c>
      <c r="F62" s="24" t="s">
        <v>180</v>
      </c>
      <c r="G62" s="24" t="s">
        <v>181</v>
      </c>
      <c r="H62" s="24">
        <v>38.14</v>
      </c>
      <c r="I62" s="24">
        <v>-97.43</v>
      </c>
      <c r="J62" s="24">
        <v>450</v>
      </c>
      <c r="L62" s="24">
        <v>14.4</v>
      </c>
      <c r="N62" s="24">
        <v>874</v>
      </c>
      <c r="P62" s="55" t="s">
        <v>1922</v>
      </c>
      <c r="Q62" s="55" t="s">
        <v>1620</v>
      </c>
      <c r="R62" s="55"/>
      <c r="S62" s="55" t="s">
        <v>1557</v>
      </c>
      <c r="T62" s="55" t="s">
        <v>1556</v>
      </c>
      <c r="U62" s="55" t="s">
        <v>1558</v>
      </c>
      <c r="V62" s="55" t="s">
        <v>1904</v>
      </c>
      <c r="Z62" s="24" t="s">
        <v>531</v>
      </c>
      <c r="AD62" s="24" t="s">
        <v>1471</v>
      </c>
      <c r="AE62" s="24" t="s">
        <v>190</v>
      </c>
      <c r="AF62" s="152" t="s">
        <v>666</v>
      </c>
      <c r="AG62" s="24" t="s">
        <v>1770</v>
      </c>
      <c r="AH62" s="156" t="s">
        <v>1800</v>
      </c>
      <c r="AI62" s="24" t="s">
        <v>189</v>
      </c>
      <c r="AJ62" s="24" t="s">
        <v>189</v>
      </c>
      <c r="AK62" s="24" t="s">
        <v>212</v>
      </c>
      <c r="AL62" s="24" t="s">
        <v>188</v>
      </c>
      <c r="AM62" s="24" t="s">
        <v>188</v>
      </c>
      <c r="AN62" s="24" t="s">
        <v>212</v>
      </c>
      <c r="AO62" s="24" t="s">
        <v>194</v>
      </c>
      <c r="AP62" s="24" t="s">
        <v>194</v>
      </c>
      <c r="AQ62" s="24" t="s">
        <v>212</v>
      </c>
      <c r="AR62" s="24" t="s">
        <v>192</v>
      </c>
      <c r="AS62" s="24">
        <v>4</v>
      </c>
      <c r="AT62" s="24">
        <v>4</v>
      </c>
      <c r="AU62" s="24" t="s">
        <v>169</v>
      </c>
      <c r="AY62" s="65"/>
      <c r="BF62" s="25"/>
      <c r="BG62" s="24">
        <v>1.7101999999999999</v>
      </c>
      <c r="BH62" s="24">
        <v>1.6938</v>
      </c>
      <c r="BJ62" s="24">
        <f>10.3067/10</f>
        <v>1.03067</v>
      </c>
      <c r="BK62" s="24">
        <f>10.2147/10</f>
        <v>1.0214700000000001</v>
      </c>
      <c r="BL62" s="24" t="s">
        <v>195</v>
      </c>
      <c r="CH62" s="24">
        <v>172</v>
      </c>
      <c r="CI62" s="24">
        <v>170</v>
      </c>
      <c r="CJ62" s="24" t="s">
        <v>1622</v>
      </c>
      <c r="DI62" s="24">
        <f>0.1611*100</f>
        <v>16.11</v>
      </c>
      <c r="DJ62" s="24">
        <f>0.1619*100</f>
        <v>16.189999999999998</v>
      </c>
      <c r="EJ62" s="12"/>
      <c r="EL62" s="15"/>
      <c r="FR62" s="24" t="s">
        <v>811</v>
      </c>
      <c r="FT62" s="24">
        <v>4</v>
      </c>
    </row>
    <row r="63" spans="1:176" s="24" customFormat="1" x14ac:dyDescent="0.25">
      <c r="A63" s="24">
        <v>4</v>
      </c>
      <c r="B63" s="24" t="s">
        <v>178</v>
      </c>
      <c r="C63" s="24" t="s">
        <v>179</v>
      </c>
      <c r="D63" s="24">
        <v>2010</v>
      </c>
      <c r="E63" s="24">
        <f t="shared" si="0"/>
        <v>2002</v>
      </c>
      <c r="F63" s="24" t="s">
        <v>180</v>
      </c>
      <c r="G63" s="24" t="s">
        <v>181</v>
      </c>
      <c r="H63" s="24">
        <v>38.14</v>
      </c>
      <c r="I63" s="24">
        <v>-97.43</v>
      </c>
      <c r="J63" s="24">
        <v>450</v>
      </c>
      <c r="L63" s="24">
        <v>14.4</v>
      </c>
      <c r="N63" s="24">
        <v>874</v>
      </c>
      <c r="P63" s="55" t="s">
        <v>1922</v>
      </c>
      <c r="Q63" s="55" t="s">
        <v>1620</v>
      </c>
      <c r="R63" s="55"/>
      <c r="S63" s="55" t="s">
        <v>1556</v>
      </c>
      <c r="T63" s="55" t="s">
        <v>1556</v>
      </c>
      <c r="U63" s="55" t="s">
        <v>1558</v>
      </c>
      <c r="V63" s="55" t="s">
        <v>1904</v>
      </c>
      <c r="Z63" s="24" t="s">
        <v>531</v>
      </c>
      <c r="AD63" s="24" t="s">
        <v>1471</v>
      </c>
      <c r="AE63" s="24" t="s">
        <v>191</v>
      </c>
      <c r="AF63" s="152" t="s">
        <v>666</v>
      </c>
      <c r="AG63" s="24" t="s">
        <v>1770</v>
      </c>
      <c r="AH63" s="156" t="s">
        <v>1800</v>
      </c>
      <c r="AI63" s="24" t="s">
        <v>189</v>
      </c>
      <c r="AJ63" s="24" t="s">
        <v>189</v>
      </c>
      <c r="AK63" s="24" t="s">
        <v>212</v>
      </c>
      <c r="AL63" s="24" t="s">
        <v>188</v>
      </c>
      <c r="AM63" s="24" t="s">
        <v>188</v>
      </c>
      <c r="AN63" s="24" t="s">
        <v>212</v>
      </c>
      <c r="AO63" s="24" t="s">
        <v>194</v>
      </c>
      <c r="AP63" s="24" t="s">
        <v>194</v>
      </c>
      <c r="AQ63" s="24" t="s">
        <v>212</v>
      </c>
      <c r="AR63" s="24" t="s">
        <v>192</v>
      </c>
      <c r="AS63" s="24">
        <v>4</v>
      </c>
      <c r="AT63" s="24">
        <v>4</v>
      </c>
      <c r="AU63" s="24" t="s">
        <v>169</v>
      </c>
      <c r="AY63" s="65"/>
      <c r="BF63" s="25"/>
      <c r="BG63" s="24">
        <v>1.6419999999999999</v>
      </c>
      <c r="BH63" s="24">
        <v>1.6193</v>
      </c>
      <c r="BJ63" s="24">
        <f>13.681/10</f>
        <v>1.3680999999999999</v>
      </c>
      <c r="BK63" s="24">
        <f>17.3313/10</f>
        <v>1.7331299999999998</v>
      </c>
      <c r="BL63" s="24" t="s">
        <v>195</v>
      </c>
      <c r="CH63" s="24">
        <v>115</v>
      </c>
      <c r="CI63" s="24">
        <v>149</v>
      </c>
      <c r="CJ63" s="24" t="s">
        <v>1622</v>
      </c>
      <c r="DI63" s="24">
        <f>0.1693*100</f>
        <v>16.93</v>
      </c>
      <c r="DJ63" s="24">
        <f>0.1774*100</f>
        <v>17.740000000000002</v>
      </c>
      <c r="EJ63" s="12"/>
      <c r="EL63" s="15"/>
      <c r="FR63" s="24" t="s">
        <v>811</v>
      </c>
      <c r="FT63" s="24">
        <v>4</v>
      </c>
    </row>
    <row r="64" spans="1:176" s="24" customFormat="1" x14ac:dyDescent="0.25">
      <c r="A64" s="24">
        <v>4</v>
      </c>
      <c r="B64" s="24" t="s">
        <v>178</v>
      </c>
      <c r="C64" s="24" t="s">
        <v>179</v>
      </c>
      <c r="D64" s="24">
        <v>2010</v>
      </c>
      <c r="E64" s="24">
        <f t="shared" si="0"/>
        <v>2002</v>
      </c>
      <c r="F64" s="24" t="s">
        <v>180</v>
      </c>
      <c r="G64" s="24" t="s">
        <v>181</v>
      </c>
      <c r="H64" s="24">
        <v>38.14</v>
      </c>
      <c r="I64" s="24">
        <v>-97.43</v>
      </c>
      <c r="J64" s="24">
        <v>450</v>
      </c>
      <c r="L64" s="24">
        <v>14.4</v>
      </c>
      <c r="N64" s="24">
        <v>874</v>
      </c>
      <c r="P64" s="55" t="s">
        <v>1922</v>
      </c>
      <c r="Q64" s="55" t="s">
        <v>1620</v>
      </c>
      <c r="R64" s="55"/>
      <c r="S64" s="55" t="s">
        <v>1557</v>
      </c>
      <c r="T64" s="55" t="s">
        <v>1556</v>
      </c>
      <c r="U64" s="55" t="s">
        <v>1558</v>
      </c>
      <c r="V64" s="55" t="s">
        <v>1904</v>
      </c>
      <c r="Z64" s="24" t="s">
        <v>531</v>
      </c>
      <c r="AD64" s="24" t="s">
        <v>1471</v>
      </c>
      <c r="AE64" s="24" t="s">
        <v>191</v>
      </c>
      <c r="AF64" s="152" t="s">
        <v>666</v>
      </c>
      <c r="AG64" s="24" t="s">
        <v>1770</v>
      </c>
      <c r="AH64" s="156" t="s">
        <v>1800</v>
      </c>
      <c r="AI64" s="24" t="s">
        <v>189</v>
      </c>
      <c r="AJ64" s="24" t="s">
        <v>189</v>
      </c>
      <c r="AK64" s="24" t="s">
        <v>212</v>
      </c>
      <c r="AL64" s="24" t="s">
        <v>188</v>
      </c>
      <c r="AM64" s="24" t="s">
        <v>188</v>
      </c>
      <c r="AN64" s="24" t="s">
        <v>212</v>
      </c>
      <c r="AO64" s="24" t="s">
        <v>194</v>
      </c>
      <c r="AP64" s="24" t="s">
        <v>194</v>
      </c>
      <c r="AQ64" s="24" t="s">
        <v>212</v>
      </c>
      <c r="AR64" s="24" t="s">
        <v>192</v>
      </c>
      <c r="AS64" s="24">
        <v>4</v>
      </c>
      <c r="AT64" s="24">
        <v>4</v>
      </c>
      <c r="AU64" s="24" t="s">
        <v>169</v>
      </c>
      <c r="AY64" s="65"/>
      <c r="BF64" s="25"/>
      <c r="BG64" s="24">
        <v>1.7101999999999999</v>
      </c>
      <c r="BH64" s="24">
        <v>1.6987000000000001</v>
      </c>
      <c r="BJ64" s="24">
        <f>10.3067/10</f>
        <v>1.03067</v>
      </c>
      <c r="BK64" s="24">
        <f>10.2147/10</f>
        <v>1.0214700000000001</v>
      </c>
      <c r="BL64" s="24" t="s">
        <v>195</v>
      </c>
      <c r="CH64" s="24">
        <v>172</v>
      </c>
      <c r="CI64" s="24">
        <v>169</v>
      </c>
      <c r="CJ64" s="24" t="s">
        <v>1622</v>
      </c>
      <c r="DI64" s="24">
        <f>0.1611*100</f>
        <v>16.11</v>
      </c>
      <c r="DJ64" s="24">
        <f>0.1671*100</f>
        <v>16.71</v>
      </c>
      <c r="EJ64" s="12"/>
      <c r="EL64" s="15"/>
      <c r="FR64" s="24" t="s">
        <v>811</v>
      </c>
      <c r="FT64" s="24">
        <v>4</v>
      </c>
    </row>
    <row r="65" spans="1:176" s="26" customFormat="1" x14ac:dyDescent="0.25">
      <c r="A65" s="26">
        <v>5</v>
      </c>
      <c r="B65" s="26" t="s">
        <v>178</v>
      </c>
      <c r="C65" s="26" t="s">
        <v>179</v>
      </c>
      <c r="D65" s="26">
        <v>2013</v>
      </c>
      <c r="E65" s="26">
        <v>2011</v>
      </c>
      <c r="F65" s="26" t="s">
        <v>180</v>
      </c>
      <c r="G65" s="26" t="s">
        <v>198</v>
      </c>
      <c r="H65" s="26">
        <v>37.97</v>
      </c>
      <c r="I65" s="26">
        <v>-100.87</v>
      </c>
      <c r="J65" s="26">
        <v>865.6</v>
      </c>
      <c r="M65" s="26">
        <v>400</v>
      </c>
      <c r="N65" s="26">
        <v>489</v>
      </c>
      <c r="P65" s="52">
        <v>4</v>
      </c>
      <c r="Q65" s="52"/>
      <c r="R65" s="52"/>
      <c r="S65" s="52" t="s">
        <v>1556</v>
      </c>
      <c r="T65" s="52" t="s">
        <v>1556</v>
      </c>
      <c r="U65" s="52" t="s">
        <v>1556</v>
      </c>
      <c r="V65" s="52" t="s">
        <v>1904</v>
      </c>
      <c r="Z65" s="26" t="s">
        <v>531</v>
      </c>
      <c r="AD65" s="26" t="s">
        <v>1472</v>
      </c>
      <c r="AE65" s="26" t="s">
        <v>1744</v>
      </c>
      <c r="AF65" s="152" t="s">
        <v>666</v>
      </c>
      <c r="AG65" s="26" t="s">
        <v>1794</v>
      </c>
      <c r="AH65" s="154" t="s">
        <v>1800</v>
      </c>
      <c r="AI65" s="26" t="s">
        <v>1795</v>
      </c>
      <c r="AJ65" s="26" t="s">
        <v>1795</v>
      </c>
      <c r="AK65" s="26" t="s">
        <v>212</v>
      </c>
      <c r="AR65" s="26" t="s">
        <v>147</v>
      </c>
      <c r="AS65" s="26">
        <v>4</v>
      </c>
      <c r="AT65" s="26">
        <v>4</v>
      </c>
      <c r="AU65" s="26" t="s">
        <v>209</v>
      </c>
      <c r="AY65" s="63"/>
      <c r="BG65" s="26">
        <v>1.57</v>
      </c>
      <c r="BH65" s="26">
        <v>1.45</v>
      </c>
      <c r="BJ65" s="26">
        <f>8.7/1000*100</f>
        <v>0.86999999999999988</v>
      </c>
      <c r="BK65" s="26">
        <v>0.91999999999999993</v>
      </c>
      <c r="BL65" s="26" t="s">
        <v>1851</v>
      </c>
      <c r="CH65" s="26">
        <f>0.5877*100</f>
        <v>58.77</v>
      </c>
      <c r="CI65" s="26">
        <f>0.4353*100</f>
        <v>43.53</v>
      </c>
      <c r="CJ65" s="26" t="s">
        <v>919</v>
      </c>
      <c r="CW65" s="26">
        <v>1.5893999999999999</v>
      </c>
      <c r="CX65" s="26">
        <v>0.96489999999999998</v>
      </c>
      <c r="CY65" s="26" t="s">
        <v>204</v>
      </c>
      <c r="EJ65" s="12"/>
      <c r="EL65" s="15"/>
      <c r="FR65" s="26" t="s">
        <v>812</v>
      </c>
      <c r="FT65" s="26">
        <v>5</v>
      </c>
    </row>
    <row r="66" spans="1:176" s="26" customFormat="1" x14ac:dyDescent="0.25">
      <c r="A66" s="26">
        <v>5</v>
      </c>
      <c r="B66" s="26" t="s">
        <v>178</v>
      </c>
      <c r="C66" s="26" t="s">
        <v>179</v>
      </c>
      <c r="D66" s="26">
        <v>2013</v>
      </c>
      <c r="E66" s="26">
        <v>2011</v>
      </c>
      <c r="F66" s="26" t="s">
        <v>180</v>
      </c>
      <c r="G66" s="26" t="s">
        <v>198</v>
      </c>
      <c r="H66" s="26">
        <v>37.97</v>
      </c>
      <c r="I66" s="26">
        <v>-100.87</v>
      </c>
      <c r="J66" s="26">
        <v>865.6</v>
      </c>
      <c r="M66" s="26">
        <v>400</v>
      </c>
      <c r="N66" s="26">
        <v>489</v>
      </c>
      <c r="P66" s="52">
        <v>4</v>
      </c>
      <c r="Q66" s="52"/>
      <c r="R66" s="52"/>
      <c r="S66" s="52" t="s">
        <v>1556</v>
      </c>
      <c r="T66" s="52" t="s">
        <v>1556</v>
      </c>
      <c r="U66" s="52" t="s">
        <v>1556</v>
      </c>
      <c r="V66" s="52" t="s">
        <v>1904</v>
      </c>
      <c r="Z66" s="26" t="s">
        <v>531</v>
      </c>
      <c r="AD66" s="26" t="s">
        <v>1472</v>
      </c>
      <c r="AE66" s="26" t="s">
        <v>1748</v>
      </c>
      <c r="AF66" s="152" t="s">
        <v>666</v>
      </c>
      <c r="AG66" s="26" t="s">
        <v>1794</v>
      </c>
      <c r="AH66" s="154" t="s">
        <v>1800</v>
      </c>
      <c r="AI66" s="26" t="s">
        <v>1795</v>
      </c>
      <c r="AJ66" s="26" t="s">
        <v>1795</v>
      </c>
      <c r="AK66" s="26" t="s">
        <v>212</v>
      </c>
      <c r="AR66" s="26" t="s">
        <v>147</v>
      </c>
      <c r="AS66" s="26">
        <v>4</v>
      </c>
      <c r="AT66" s="26">
        <v>4</v>
      </c>
      <c r="AU66" s="26" t="s">
        <v>209</v>
      </c>
      <c r="AY66" s="63"/>
      <c r="BG66" s="26">
        <v>1.57</v>
      </c>
      <c r="BH66" s="26">
        <v>1.55</v>
      </c>
      <c r="BJ66" s="26">
        <f t="shared" ref="BJ66:BJ72" si="2">8.7/1000*100</f>
        <v>0.86999999999999988</v>
      </c>
      <c r="BK66" s="26">
        <v>1.01</v>
      </c>
      <c r="BL66" s="26" t="s">
        <v>1851</v>
      </c>
      <c r="CH66" s="26">
        <f t="shared" ref="CH66:CH72" si="3">0.5877*100</f>
        <v>58.77</v>
      </c>
      <c r="CI66" s="26">
        <f>0.3374*100</f>
        <v>33.739999999999995</v>
      </c>
      <c r="CJ66" s="26" t="s">
        <v>919</v>
      </c>
      <c r="CW66" s="26">
        <v>1.5893999999999999</v>
      </c>
      <c r="CX66" s="26">
        <v>0.50319999999999998</v>
      </c>
      <c r="CY66" s="26" t="s">
        <v>204</v>
      </c>
      <c r="EJ66" s="12"/>
      <c r="EL66" s="15"/>
      <c r="FR66" s="26" t="s">
        <v>812</v>
      </c>
      <c r="FT66" s="26">
        <v>5</v>
      </c>
    </row>
    <row r="67" spans="1:176" s="26" customFormat="1" x14ac:dyDescent="0.25">
      <c r="A67" s="26">
        <v>5</v>
      </c>
      <c r="B67" s="26" t="s">
        <v>178</v>
      </c>
      <c r="C67" s="26" t="s">
        <v>179</v>
      </c>
      <c r="D67" s="26">
        <v>2013</v>
      </c>
      <c r="E67" s="26">
        <v>2011</v>
      </c>
      <c r="F67" s="26" t="s">
        <v>180</v>
      </c>
      <c r="G67" s="26" t="s">
        <v>198</v>
      </c>
      <c r="H67" s="26">
        <v>37.97</v>
      </c>
      <c r="I67" s="26">
        <v>-100.87</v>
      </c>
      <c r="J67" s="26">
        <v>865.6</v>
      </c>
      <c r="M67" s="26">
        <v>400</v>
      </c>
      <c r="N67" s="26">
        <v>489</v>
      </c>
      <c r="P67" s="52">
        <v>4</v>
      </c>
      <c r="Q67" s="52"/>
      <c r="R67" s="52"/>
      <c r="S67" s="52" t="s">
        <v>1556</v>
      </c>
      <c r="T67" s="52" t="s">
        <v>1556</v>
      </c>
      <c r="U67" s="52" t="s">
        <v>1556</v>
      </c>
      <c r="V67" s="52" t="s">
        <v>1904</v>
      </c>
      <c r="Z67" s="26" t="s">
        <v>531</v>
      </c>
      <c r="AD67" s="26" t="s">
        <v>1472</v>
      </c>
      <c r="AE67" s="26" t="s">
        <v>1749</v>
      </c>
      <c r="AF67" s="152" t="s">
        <v>666</v>
      </c>
      <c r="AG67" s="26" t="s">
        <v>1794</v>
      </c>
      <c r="AH67" s="154" t="s">
        <v>1800</v>
      </c>
      <c r="AI67" s="26" t="s">
        <v>1795</v>
      </c>
      <c r="AJ67" s="26" t="s">
        <v>1795</v>
      </c>
      <c r="AK67" s="26" t="s">
        <v>212</v>
      </c>
      <c r="AR67" s="26" t="s">
        <v>147</v>
      </c>
      <c r="AS67" s="26">
        <v>4</v>
      </c>
      <c r="AT67" s="26">
        <v>4</v>
      </c>
      <c r="AU67" s="26" t="s">
        <v>209</v>
      </c>
      <c r="AY67" s="63"/>
      <c r="BG67" s="26">
        <v>1.57</v>
      </c>
      <c r="BH67" s="26">
        <v>1.49</v>
      </c>
      <c r="BJ67" s="26">
        <f t="shared" si="2"/>
        <v>0.86999999999999988</v>
      </c>
      <c r="BK67" s="26">
        <v>1.08</v>
      </c>
      <c r="BL67" s="26" t="s">
        <v>1851</v>
      </c>
      <c r="CH67" s="26">
        <f t="shared" si="3"/>
        <v>58.77</v>
      </c>
      <c r="CI67" s="26">
        <f>0.423*100</f>
        <v>42.3</v>
      </c>
      <c r="CJ67" s="26" t="s">
        <v>919</v>
      </c>
      <c r="EJ67" s="12"/>
      <c r="EL67" s="15"/>
      <c r="FR67" s="26" t="s">
        <v>812</v>
      </c>
      <c r="FT67" s="26">
        <v>5</v>
      </c>
    </row>
    <row r="68" spans="1:176" s="26" customFormat="1" x14ac:dyDescent="0.25">
      <c r="A68" s="26">
        <v>5</v>
      </c>
      <c r="B68" s="26" t="s">
        <v>178</v>
      </c>
      <c r="C68" s="26" t="s">
        <v>179</v>
      </c>
      <c r="D68" s="26">
        <v>2013</v>
      </c>
      <c r="E68" s="26">
        <v>2011</v>
      </c>
      <c r="F68" s="26" t="s">
        <v>180</v>
      </c>
      <c r="G68" s="26" t="s">
        <v>198</v>
      </c>
      <c r="H68" s="26">
        <v>37.97</v>
      </c>
      <c r="I68" s="26">
        <v>-100.87</v>
      </c>
      <c r="J68" s="26">
        <v>865.6</v>
      </c>
      <c r="M68" s="26">
        <v>400</v>
      </c>
      <c r="N68" s="26">
        <v>489</v>
      </c>
      <c r="P68" s="52">
        <v>4</v>
      </c>
      <c r="Q68" s="52"/>
      <c r="R68" s="52"/>
      <c r="S68" s="52" t="s">
        <v>1556</v>
      </c>
      <c r="T68" s="52" t="s">
        <v>1556</v>
      </c>
      <c r="U68" s="52" t="s">
        <v>1556</v>
      </c>
      <c r="V68" s="52" t="s">
        <v>1904</v>
      </c>
      <c r="Z68" s="26" t="s">
        <v>531</v>
      </c>
      <c r="AD68" s="26" t="s">
        <v>1472</v>
      </c>
      <c r="AE68" s="26" t="s">
        <v>1745</v>
      </c>
      <c r="AF68" s="152" t="s">
        <v>1761</v>
      </c>
      <c r="AG68" s="26" t="s">
        <v>1794</v>
      </c>
      <c r="AH68" s="154" t="s">
        <v>1800</v>
      </c>
      <c r="AI68" s="26" t="s">
        <v>1795</v>
      </c>
      <c r="AJ68" s="26" t="s">
        <v>1795</v>
      </c>
      <c r="AK68" s="26" t="s">
        <v>212</v>
      </c>
      <c r="AR68" s="26" t="s">
        <v>147</v>
      </c>
      <c r="AS68" s="26">
        <v>4</v>
      </c>
      <c r="AT68" s="26">
        <v>4</v>
      </c>
      <c r="AU68" s="26" t="s">
        <v>209</v>
      </c>
      <c r="AY68" s="63"/>
      <c r="BG68" s="26">
        <v>1.57</v>
      </c>
      <c r="BH68" s="26">
        <v>1.39</v>
      </c>
      <c r="BJ68" s="26">
        <f t="shared" si="2"/>
        <v>0.86999999999999988</v>
      </c>
      <c r="BK68" s="26">
        <v>1.1400000000000001</v>
      </c>
      <c r="BL68" s="26" t="s">
        <v>1851</v>
      </c>
      <c r="CH68" s="26">
        <f t="shared" si="3"/>
        <v>58.77</v>
      </c>
      <c r="CI68" s="26">
        <f>0.3939*100</f>
        <v>39.39</v>
      </c>
      <c r="CJ68" s="26" t="s">
        <v>919</v>
      </c>
      <c r="CW68" s="26">
        <v>1.5893999999999999</v>
      </c>
      <c r="CX68" s="26">
        <v>0.3256</v>
      </c>
      <c r="CY68" s="26" t="s">
        <v>204</v>
      </c>
      <c r="EJ68" s="12"/>
      <c r="EL68" s="15"/>
      <c r="FR68" s="26" t="s">
        <v>812</v>
      </c>
      <c r="FT68" s="26">
        <v>5</v>
      </c>
    </row>
    <row r="69" spans="1:176" s="26" customFormat="1" x14ac:dyDescent="0.25">
      <c r="A69" s="26">
        <v>5</v>
      </c>
      <c r="B69" s="26" t="s">
        <v>178</v>
      </c>
      <c r="C69" s="26" t="s">
        <v>179</v>
      </c>
      <c r="D69" s="26">
        <v>2013</v>
      </c>
      <c r="E69" s="26">
        <v>2011</v>
      </c>
      <c r="F69" s="26" t="s">
        <v>180</v>
      </c>
      <c r="G69" s="26" t="s">
        <v>198</v>
      </c>
      <c r="H69" s="26">
        <v>37.97</v>
      </c>
      <c r="I69" s="26">
        <v>-100.87</v>
      </c>
      <c r="J69" s="26">
        <v>865.6</v>
      </c>
      <c r="M69" s="26">
        <v>400</v>
      </c>
      <c r="N69" s="26">
        <v>489</v>
      </c>
      <c r="P69" s="52">
        <v>4</v>
      </c>
      <c r="Q69" s="52"/>
      <c r="R69" s="52"/>
      <c r="S69" s="52" t="s">
        <v>1556</v>
      </c>
      <c r="T69" s="52" t="s">
        <v>1556</v>
      </c>
      <c r="U69" s="52" t="s">
        <v>1556</v>
      </c>
      <c r="V69" s="52" t="s">
        <v>1904</v>
      </c>
      <c r="Z69" s="26" t="s">
        <v>531</v>
      </c>
      <c r="AD69" s="26" t="s">
        <v>1472</v>
      </c>
      <c r="AE69" s="26" t="s">
        <v>1752</v>
      </c>
      <c r="AF69" s="152" t="s">
        <v>1761</v>
      </c>
      <c r="AG69" s="26" t="s">
        <v>1794</v>
      </c>
      <c r="AH69" s="154" t="s">
        <v>1800</v>
      </c>
      <c r="AI69" s="26" t="s">
        <v>1795</v>
      </c>
      <c r="AJ69" s="26" t="s">
        <v>1795</v>
      </c>
      <c r="AK69" s="26" t="s">
        <v>212</v>
      </c>
      <c r="AR69" s="26" t="s">
        <v>147</v>
      </c>
      <c r="AS69" s="26">
        <v>4</v>
      </c>
      <c r="AT69" s="26">
        <v>4</v>
      </c>
      <c r="AU69" s="26" t="s">
        <v>209</v>
      </c>
      <c r="AY69" s="63"/>
      <c r="AZ69" s="26" t="s">
        <v>199</v>
      </c>
      <c r="BG69" s="26">
        <v>1.57</v>
      </c>
      <c r="BH69" s="26">
        <v>1.46</v>
      </c>
      <c r="BJ69" s="26">
        <f t="shared" si="2"/>
        <v>0.86999999999999988</v>
      </c>
      <c r="BK69" s="26">
        <v>0.94000000000000006</v>
      </c>
      <c r="BL69" s="26" t="s">
        <v>1851</v>
      </c>
      <c r="CH69" s="26">
        <f t="shared" si="3"/>
        <v>58.77</v>
      </c>
      <c r="CI69" s="26">
        <f>0.6318*100</f>
        <v>63.18</v>
      </c>
      <c r="CJ69" s="26" t="s">
        <v>919</v>
      </c>
      <c r="CW69" s="26">
        <v>1.5893999999999999</v>
      </c>
      <c r="CX69" s="26">
        <v>0.61170000000000002</v>
      </c>
      <c r="CY69" s="26" t="s">
        <v>204</v>
      </c>
      <c r="EJ69" s="12"/>
      <c r="EL69" s="15"/>
      <c r="FR69" s="26" t="s">
        <v>812</v>
      </c>
      <c r="FT69" s="26">
        <v>5</v>
      </c>
    </row>
    <row r="70" spans="1:176" s="26" customFormat="1" x14ac:dyDescent="0.25">
      <c r="A70" s="26">
        <v>5</v>
      </c>
      <c r="B70" s="26" t="s">
        <v>178</v>
      </c>
      <c r="C70" s="26" t="s">
        <v>179</v>
      </c>
      <c r="D70" s="26">
        <v>2013</v>
      </c>
      <c r="E70" s="26">
        <v>2011</v>
      </c>
      <c r="F70" s="26" t="s">
        <v>180</v>
      </c>
      <c r="G70" s="26" t="s">
        <v>198</v>
      </c>
      <c r="H70" s="26">
        <v>37.97</v>
      </c>
      <c r="I70" s="26">
        <v>-100.87</v>
      </c>
      <c r="J70" s="26">
        <v>865.6</v>
      </c>
      <c r="M70" s="26">
        <v>400</v>
      </c>
      <c r="N70" s="26">
        <v>489</v>
      </c>
      <c r="P70" s="52">
        <v>4</v>
      </c>
      <c r="Q70" s="52"/>
      <c r="R70" s="52"/>
      <c r="S70" s="52" t="s">
        <v>1556</v>
      </c>
      <c r="T70" s="52" t="s">
        <v>1556</v>
      </c>
      <c r="U70" s="52" t="s">
        <v>1556</v>
      </c>
      <c r="V70" s="52" t="s">
        <v>1904</v>
      </c>
      <c r="Z70" s="26" t="s">
        <v>531</v>
      </c>
      <c r="AD70" s="26" t="s">
        <v>1472</v>
      </c>
      <c r="AE70" s="26" t="s">
        <v>1700</v>
      </c>
      <c r="AF70" s="152" t="s">
        <v>1761</v>
      </c>
      <c r="AG70" s="26" t="s">
        <v>1794</v>
      </c>
      <c r="AH70" s="154" t="s">
        <v>1800</v>
      </c>
      <c r="AI70" s="26" t="s">
        <v>1795</v>
      </c>
      <c r="AJ70" s="26" t="s">
        <v>1795</v>
      </c>
      <c r="AK70" s="26" t="s">
        <v>212</v>
      </c>
      <c r="AR70" s="26" t="s">
        <v>147</v>
      </c>
      <c r="AS70" s="26">
        <v>4</v>
      </c>
      <c r="AT70" s="26">
        <v>4</v>
      </c>
      <c r="AU70" s="26" t="s">
        <v>209</v>
      </c>
      <c r="AY70" s="63"/>
      <c r="AZ70" s="26" t="s">
        <v>200</v>
      </c>
      <c r="BG70" s="26">
        <v>1.57</v>
      </c>
      <c r="BH70" s="26">
        <v>1.44</v>
      </c>
      <c r="BJ70" s="26">
        <f t="shared" si="2"/>
        <v>0.86999999999999988</v>
      </c>
      <c r="BK70" s="26">
        <v>1.1599999999999999</v>
      </c>
      <c r="BL70" s="26" t="s">
        <v>1851</v>
      </c>
      <c r="CH70" s="26">
        <f t="shared" si="3"/>
        <v>58.77</v>
      </c>
      <c r="CI70" s="26">
        <f>0.3878*100</f>
        <v>38.78</v>
      </c>
      <c r="CJ70" s="26" t="s">
        <v>919</v>
      </c>
      <c r="EJ70" s="12"/>
      <c r="EL70" s="15"/>
      <c r="FR70" s="26" t="s">
        <v>812</v>
      </c>
      <c r="FT70" s="26">
        <v>5</v>
      </c>
    </row>
    <row r="71" spans="1:176" s="26" customFormat="1" x14ac:dyDescent="0.25">
      <c r="A71" s="26">
        <v>5</v>
      </c>
      <c r="B71" s="26" t="s">
        <v>178</v>
      </c>
      <c r="C71" s="26" t="s">
        <v>179</v>
      </c>
      <c r="D71" s="26">
        <v>2013</v>
      </c>
      <c r="E71" s="26">
        <v>2011</v>
      </c>
      <c r="F71" s="26" t="s">
        <v>180</v>
      </c>
      <c r="G71" s="26" t="s">
        <v>198</v>
      </c>
      <c r="H71" s="26">
        <v>37.97</v>
      </c>
      <c r="I71" s="26">
        <v>-100.87</v>
      </c>
      <c r="J71" s="26">
        <v>865.6</v>
      </c>
      <c r="M71" s="26">
        <v>400</v>
      </c>
      <c r="N71" s="26">
        <v>489</v>
      </c>
      <c r="P71" s="52">
        <v>4</v>
      </c>
      <c r="Q71" s="52"/>
      <c r="R71" s="52"/>
      <c r="S71" s="52" t="s">
        <v>1556</v>
      </c>
      <c r="T71" s="52" t="s">
        <v>1556</v>
      </c>
      <c r="U71" s="52" t="s">
        <v>1556</v>
      </c>
      <c r="V71" s="52" t="s">
        <v>1904</v>
      </c>
      <c r="Z71" s="26" t="s">
        <v>531</v>
      </c>
      <c r="AD71" s="26" t="s">
        <v>1472</v>
      </c>
      <c r="AE71" s="26" t="s">
        <v>1744</v>
      </c>
      <c r="AF71" s="152" t="s">
        <v>666</v>
      </c>
      <c r="AG71" s="26" t="s">
        <v>1794</v>
      </c>
      <c r="AH71" s="154" t="s">
        <v>1800</v>
      </c>
      <c r="AI71" s="26" t="s">
        <v>1795</v>
      </c>
      <c r="AJ71" s="26" t="s">
        <v>1795</v>
      </c>
      <c r="AK71" s="26" t="s">
        <v>212</v>
      </c>
      <c r="AR71" s="26" t="s">
        <v>147</v>
      </c>
      <c r="AS71" s="26">
        <v>4</v>
      </c>
      <c r="AT71" s="26">
        <v>4</v>
      </c>
      <c r="AU71" s="26" t="s">
        <v>209</v>
      </c>
      <c r="AY71" s="63"/>
      <c r="AZ71" s="26" t="s">
        <v>199</v>
      </c>
      <c r="BG71" s="26">
        <v>1.57</v>
      </c>
      <c r="BH71" s="26">
        <v>1.45</v>
      </c>
      <c r="BJ71" s="26">
        <f t="shared" si="2"/>
        <v>0.86999999999999988</v>
      </c>
      <c r="BK71" s="26">
        <v>1.21</v>
      </c>
      <c r="BL71" s="26" t="s">
        <v>1851</v>
      </c>
      <c r="CH71" s="26">
        <f t="shared" si="3"/>
        <v>58.77</v>
      </c>
      <c r="CI71" s="26">
        <f>0.4163*100</f>
        <v>41.63</v>
      </c>
      <c r="CJ71" s="26" t="s">
        <v>919</v>
      </c>
      <c r="EJ71" s="12"/>
      <c r="EL71" s="15"/>
      <c r="FR71" s="26" t="s">
        <v>812</v>
      </c>
      <c r="FT71" s="26">
        <v>5</v>
      </c>
    </row>
    <row r="72" spans="1:176" s="26" customFormat="1" x14ac:dyDescent="0.25">
      <c r="A72" s="26">
        <v>5</v>
      </c>
      <c r="B72" s="26" t="s">
        <v>178</v>
      </c>
      <c r="C72" s="26" t="s">
        <v>179</v>
      </c>
      <c r="D72" s="26">
        <v>2013</v>
      </c>
      <c r="E72" s="26">
        <v>2011</v>
      </c>
      <c r="F72" s="26" t="s">
        <v>180</v>
      </c>
      <c r="G72" s="26" t="s">
        <v>198</v>
      </c>
      <c r="H72" s="26">
        <v>37.97</v>
      </c>
      <c r="I72" s="26">
        <v>-100.87</v>
      </c>
      <c r="J72" s="26">
        <v>865.6</v>
      </c>
      <c r="M72" s="26">
        <v>400</v>
      </c>
      <c r="N72" s="26">
        <v>489</v>
      </c>
      <c r="P72" s="52">
        <v>4</v>
      </c>
      <c r="Q72" s="52"/>
      <c r="R72" s="52"/>
      <c r="S72" s="52" t="s">
        <v>1556</v>
      </c>
      <c r="T72" s="52" t="s">
        <v>1556</v>
      </c>
      <c r="U72" s="52" t="s">
        <v>1556</v>
      </c>
      <c r="V72" s="52" t="s">
        <v>1904</v>
      </c>
      <c r="Z72" s="26" t="s">
        <v>531</v>
      </c>
      <c r="AD72" s="26" t="s">
        <v>1472</v>
      </c>
      <c r="AE72" s="26" t="s">
        <v>1748</v>
      </c>
      <c r="AF72" s="152" t="s">
        <v>666</v>
      </c>
      <c r="AG72" s="26" t="s">
        <v>1794</v>
      </c>
      <c r="AH72" s="154" t="s">
        <v>1800</v>
      </c>
      <c r="AI72" s="26" t="s">
        <v>1795</v>
      </c>
      <c r="AJ72" s="26" t="s">
        <v>1795</v>
      </c>
      <c r="AK72" s="26" t="s">
        <v>212</v>
      </c>
      <c r="AR72" s="26" t="s">
        <v>147</v>
      </c>
      <c r="AS72" s="26">
        <v>4</v>
      </c>
      <c r="AT72" s="26">
        <v>4</v>
      </c>
      <c r="AU72" s="26" t="s">
        <v>209</v>
      </c>
      <c r="AY72" s="63"/>
      <c r="AZ72" s="26" t="s">
        <v>200</v>
      </c>
      <c r="BG72" s="26">
        <v>1.57</v>
      </c>
      <c r="BH72" s="26">
        <v>1.45</v>
      </c>
      <c r="BJ72" s="26">
        <f t="shared" si="2"/>
        <v>0.86999999999999988</v>
      </c>
      <c r="BK72" s="26">
        <v>1.3</v>
      </c>
      <c r="BL72" s="26" t="s">
        <v>1851</v>
      </c>
      <c r="CH72" s="26">
        <f t="shared" si="3"/>
        <v>58.77</v>
      </c>
      <c r="CI72" s="26">
        <f>0.2698*100</f>
        <v>26.979999999999997</v>
      </c>
      <c r="CJ72" s="26" t="s">
        <v>919</v>
      </c>
      <c r="EJ72" s="12"/>
      <c r="EL72" s="15"/>
      <c r="FR72" s="26" t="s">
        <v>812</v>
      </c>
      <c r="FT72" s="26">
        <v>5</v>
      </c>
    </row>
    <row r="73" spans="1:176" s="26" customFormat="1" x14ac:dyDescent="0.25">
      <c r="A73" s="26">
        <v>5</v>
      </c>
      <c r="B73" s="26" t="s">
        <v>178</v>
      </c>
      <c r="C73" s="26" t="s">
        <v>179</v>
      </c>
      <c r="D73" s="26">
        <v>2013</v>
      </c>
      <c r="E73" s="26">
        <v>2012</v>
      </c>
      <c r="F73" s="26" t="s">
        <v>180</v>
      </c>
      <c r="G73" s="26" t="s">
        <v>198</v>
      </c>
      <c r="H73" s="26">
        <v>37.97</v>
      </c>
      <c r="I73" s="26">
        <v>-100.87</v>
      </c>
      <c r="J73" s="26">
        <v>865.6</v>
      </c>
      <c r="M73" s="26">
        <v>308</v>
      </c>
      <c r="N73" s="26">
        <v>489</v>
      </c>
      <c r="P73" s="52">
        <v>5</v>
      </c>
      <c r="Q73" s="52"/>
      <c r="R73" s="52"/>
      <c r="S73" s="52" t="s">
        <v>1556</v>
      </c>
      <c r="T73" s="52" t="s">
        <v>1556</v>
      </c>
      <c r="U73" s="52" t="s">
        <v>1556</v>
      </c>
      <c r="V73" s="52" t="s">
        <v>1904</v>
      </c>
      <c r="Z73" s="26" t="s">
        <v>531</v>
      </c>
      <c r="AD73" s="26" t="s">
        <v>1472</v>
      </c>
      <c r="AE73" s="26" t="s">
        <v>1744</v>
      </c>
      <c r="AF73" s="152" t="s">
        <v>666</v>
      </c>
      <c r="AG73" s="26" t="s">
        <v>1794</v>
      </c>
      <c r="AH73" s="154" t="s">
        <v>1800</v>
      </c>
      <c r="AI73" s="26" t="s">
        <v>1795</v>
      </c>
      <c r="AJ73" s="26" t="s">
        <v>1795</v>
      </c>
      <c r="AK73" s="26" t="s">
        <v>212</v>
      </c>
      <c r="AR73" s="26" t="s">
        <v>147</v>
      </c>
      <c r="AS73" s="26">
        <v>4</v>
      </c>
      <c r="AT73" s="26">
        <v>4</v>
      </c>
      <c r="AU73" s="26" t="s">
        <v>209</v>
      </c>
      <c r="AY73" s="63"/>
      <c r="BG73" s="26">
        <v>1.49</v>
      </c>
      <c r="BH73" s="26">
        <v>1.4</v>
      </c>
      <c r="BJ73" s="26">
        <f>8.8*100/1000</f>
        <v>0.88000000000000012</v>
      </c>
      <c r="BK73" s="26">
        <v>0.93</v>
      </c>
      <c r="BL73" s="26" t="s">
        <v>1851</v>
      </c>
      <c r="EJ73" s="12"/>
      <c r="EL73" s="15"/>
      <c r="FR73" s="26" t="s">
        <v>812</v>
      </c>
      <c r="FT73" s="26">
        <v>5</v>
      </c>
    </row>
    <row r="74" spans="1:176" s="26" customFormat="1" x14ac:dyDescent="0.25">
      <c r="A74" s="26">
        <v>5</v>
      </c>
      <c r="B74" s="26" t="s">
        <v>178</v>
      </c>
      <c r="C74" s="26" t="s">
        <v>179</v>
      </c>
      <c r="D74" s="26">
        <v>2013</v>
      </c>
      <c r="E74" s="26">
        <v>2012</v>
      </c>
      <c r="F74" s="26" t="s">
        <v>180</v>
      </c>
      <c r="G74" s="26" t="s">
        <v>198</v>
      </c>
      <c r="H74" s="26">
        <v>37.97</v>
      </c>
      <c r="I74" s="26">
        <v>-100.87</v>
      </c>
      <c r="J74" s="26">
        <v>865.6</v>
      </c>
      <c r="M74" s="26">
        <v>308</v>
      </c>
      <c r="N74" s="26">
        <v>489</v>
      </c>
      <c r="P74" s="52">
        <v>5</v>
      </c>
      <c r="Q74" s="52"/>
      <c r="R74" s="52"/>
      <c r="S74" s="52" t="s">
        <v>1556</v>
      </c>
      <c r="T74" s="52" t="s">
        <v>1556</v>
      </c>
      <c r="U74" s="52" t="s">
        <v>1556</v>
      </c>
      <c r="V74" s="52" t="s">
        <v>1904</v>
      </c>
      <c r="Z74" s="26" t="s">
        <v>531</v>
      </c>
      <c r="AD74" s="26" t="s">
        <v>1472</v>
      </c>
      <c r="AE74" s="26" t="s">
        <v>1748</v>
      </c>
      <c r="AF74" s="152" t="s">
        <v>666</v>
      </c>
      <c r="AG74" s="26" t="s">
        <v>1794</v>
      </c>
      <c r="AH74" s="154" t="s">
        <v>1800</v>
      </c>
      <c r="AI74" s="26" t="s">
        <v>1795</v>
      </c>
      <c r="AJ74" s="26" t="s">
        <v>1795</v>
      </c>
      <c r="AK74" s="26" t="s">
        <v>212</v>
      </c>
      <c r="AR74" s="26" t="s">
        <v>147</v>
      </c>
      <c r="AS74" s="26">
        <v>4</v>
      </c>
      <c r="AT74" s="26">
        <v>4</v>
      </c>
      <c r="AU74" s="26" t="s">
        <v>209</v>
      </c>
      <c r="AY74" s="63"/>
      <c r="BG74" s="26">
        <v>1.49</v>
      </c>
      <c r="BH74" s="26">
        <v>1.42</v>
      </c>
      <c r="BJ74" s="26">
        <f t="shared" ref="BJ74:BJ80" si="4">8.8*100/1000</f>
        <v>0.88000000000000012</v>
      </c>
      <c r="BK74" s="26">
        <v>1.02</v>
      </c>
      <c r="BL74" s="26" t="s">
        <v>1851</v>
      </c>
      <c r="EJ74" s="12"/>
      <c r="EL74" s="15"/>
      <c r="FR74" s="26" t="s">
        <v>812</v>
      </c>
      <c r="FT74" s="26">
        <v>5</v>
      </c>
    </row>
    <row r="75" spans="1:176" s="26" customFormat="1" x14ac:dyDescent="0.25">
      <c r="A75" s="26">
        <v>5</v>
      </c>
      <c r="B75" s="26" t="s">
        <v>178</v>
      </c>
      <c r="C75" s="26" t="s">
        <v>179</v>
      </c>
      <c r="D75" s="26">
        <v>2013</v>
      </c>
      <c r="E75" s="26">
        <v>2012</v>
      </c>
      <c r="F75" s="26" t="s">
        <v>180</v>
      </c>
      <c r="G75" s="26" t="s">
        <v>198</v>
      </c>
      <c r="H75" s="26">
        <v>37.97</v>
      </c>
      <c r="I75" s="26">
        <v>-100.87</v>
      </c>
      <c r="J75" s="26">
        <v>865.6</v>
      </c>
      <c r="M75" s="26">
        <v>308</v>
      </c>
      <c r="N75" s="26">
        <v>489</v>
      </c>
      <c r="P75" s="52">
        <v>5</v>
      </c>
      <c r="Q75" s="52"/>
      <c r="R75" s="52"/>
      <c r="S75" s="52" t="s">
        <v>1556</v>
      </c>
      <c r="T75" s="52" t="s">
        <v>1556</v>
      </c>
      <c r="U75" s="52" t="s">
        <v>1556</v>
      </c>
      <c r="V75" s="52" t="s">
        <v>1904</v>
      </c>
      <c r="Z75" s="26" t="s">
        <v>531</v>
      </c>
      <c r="AD75" s="26" t="s">
        <v>1472</v>
      </c>
      <c r="AE75" s="26" t="s">
        <v>1749</v>
      </c>
      <c r="AF75" s="152" t="s">
        <v>666</v>
      </c>
      <c r="AG75" s="26" t="s">
        <v>1794</v>
      </c>
      <c r="AH75" s="154" t="s">
        <v>1800</v>
      </c>
      <c r="AI75" s="26" t="s">
        <v>1795</v>
      </c>
      <c r="AJ75" s="26" t="s">
        <v>1795</v>
      </c>
      <c r="AK75" s="26" t="s">
        <v>212</v>
      </c>
      <c r="AR75" s="26" t="s">
        <v>147</v>
      </c>
      <c r="AS75" s="26">
        <v>4</v>
      </c>
      <c r="AT75" s="26">
        <v>4</v>
      </c>
      <c r="AU75" s="26" t="s">
        <v>209</v>
      </c>
      <c r="AY75" s="63"/>
      <c r="BG75" s="26">
        <v>1.49</v>
      </c>
      <c r="BH75" s="26">
        <v>1.48</v>
      </c>
      <c r="BJ75" s="26">
        <f t="shared" si="4"/>
        <v>0.88000000000000012</v>
      </c>
      <c r="BK75" s="26">
        <v>1.08</v>
      </c>
      <c r="BL75" s="26" t="s">
        <v>1851</v>
      </c>
      <c r="EJ75" s="12"/>
      <c r="EL75" s="15"/>
      <c r="FR75" s="26" t="s">
        <v>812</v>
      </c>
      <c r="FT75" s="26">
        <v>5</v>
      </c>
    </row>
    <row r="76" spans="1:176" s="26" customFormat="1" x14ac:dyDescent="0.25">
      <c r="A76" s="26">
        <v>5</v>
      </c>
      <c r="B76" s="26" t="s">
        <v>178</v>
      </c>
      <c r="C76" s="26" t="s">
        <v>179</v>
      </c>
      <c r="D76" s="26">
        <v>2013</v>
      </c>
      <c r="E76" s="26">
        <v>2012</v>
      </c>
      <c r="F76" s="26" t="s">
        <v>180</v>
      </c>
      <c r="G76" s="26" t="s">
        <v>198</v>
      </c>
      <c r="H76" s="26">
        <v>37.97</v>
      </c>
      <c r="I76" s="26">
        <v>-100.87</v>
      </c>
      <c r="J76" s="26">
        <v>865.6</v>
      </c>
      <c r="M76" s="26">
        <v>308</v>
      </c>
      <c r="N76" s="26">
        <v>489</v>
      </c>
      <c r="P76" s="52">
        <v>5</v>
      </c>
      <c r="Q76" s="52"/>
      <c r="R76" s="52"/>
      <c r="S76" s="52" t="s">
        <v>1556</v>
      </c>
      <c r="T76" s="52" t="s">
        <v>1556</v>
      </c>
      <c r="U76" s="52" t="s">
        <v>1556</v>
      </c>
      <c r="V76" s="52" t="s">
        <v>1904</v>
      </c>
      <c r="Z76" s="26" t="s">
        <v>531</v>
      </c>
      <c r="AD76" s="26" t="s">
        <v>1472</v>
      </c>
      <c r="AE76" s="26" t="s">
        <v>1745</v>
      </c>
      <c r="AF76" s="152" t="s">
        <v>1761</v>
      </c>
      <c r="AG76" s="26" t="s">
        <v>1794</v>
      </c>
      <c r="AH76" s="154" t="s">
        <v>1800</v>
      </c>
      <c r="AI76" s="26" t="s">
        <v>1795</v>
      </c>
      <c r="AJ76" s="26" t="s">
        <v>1795</v>
      </c>
      <c r="AK76" s="26" t="s">
        <v>212</v>
      </c>
      <c r="AR76" s="26" t="s">
        <v>147</v>
      </c>
      <c r="AS76" s="26">
        <v>4</v>
      </c>
      <c r="AT76" s="26">
        <v>4</v>
      </c>
      <c r="AU76" s="26" t="s">
        <v>209</v>
      </c>
      <c r="AY76" s="63"/>
      <c r="BG76" s="26">
        <v>1.49</v>
      </c>
      <c r="BH76" s="26">
        <v>1.49</v>
      </c>
      <c r="BJ76" s="26">
        <f t="shared" si="4"/>
        <v>0.88000000000000012</v>
      </c>
      <c r="BK76" s="26">
        <v>0.94000000000000006</v>
      </c>
      <c r="BL76" s="26" t="s">
        <v>1851</v>
      </c>
      <c r="EJ76" s="12"/>
      <c r="EL76" s="15"/>
      <c r="FR76" s="26" t="s">
        <v>812</v>
      </c>
      <c r="FT76" s="26">
        <v>5</v>
      </c>
    </row>
    <row r="77" spans="1:176" s="26" customFormat="1" x14ac:dyDescent="0.25">
      <c r="A77" s="26">
        <v>5</v>
      </c>
      <c r="B77" s="26" t="s">
        <v>178</v>
      </c>
      <c r="C77" s="26" t="s">
        <v>179</v>
      </c>
      <c r="D77" s="26">
        <v>2013</v>
      </c>
      <c r="E77" s="26">
        <v>2012</v>
      </c>
      <c r="F77" s="26" t="s">
        <v>180</v>
      </c>
      <c r="G77" s="26" t="s">
        <v>198</v>
      </c>
      <c r="H77" s="26">
        <v>37.97</v>
      </c>
      <c r="I77" s="26">
        <v>-100.87</v>
      </c>
      <c r="J77" s="26">
        <v>865.6</v>
      </c>
      <c r="M77" s="26">
        <v>308</v>
      </c>
      <c r="N77" s="26">
        <v>489</v>
      </c>
      <c r="P77" s="52">
        <v>5</v>
      </c>
      <c r="Q77" s="52"/>
      <c r="R77" s="52"/>
      <c r="S77" s="52" t="s">
        <v>1556</v>
      </c>
      <c r="T77" s="52" t="s">
        <v>1556</v>
      </c>
      <c r="U77" s="52" t="s">
        <v>1556</v>
      </c>
      <c r="V77" s="52" t="s">
        <v>1904</v>
      </c>
      <c r="Z77" s="26" t="s">
        <v>531</v>
      </c>
      <c r="AD77" s="26" t="s">
        <v>1472</v>
      </c>
      <c r="AE77" s="26" t="s">
        <v>1752</v>
      </c>
      <c r="AF77" s="152" t="s">
        <v>1761</v>
      </c>
      <c r="AG77" s="26" t="s">
        <v>1794</v>
      </c>
      <c r="AH77" s="154" t="s">
        <v>1800</v>
      </c>
      <c r="AI77" s="26" t="s">
        <v>1795</v>
      </c>
      <c r="AJ77" s="26" t="s">
        <v>1795</v>
      </c>
      <c r="AK77" s="26" t="s">
        <v>212</v>
      </c>
      <c r="AR77" s="26" t="s">
        <v>147</v>
      </c>
      <c r="AS77" s="26">
        <v>4</v>
      </c>
      <c r="AT77" s="26">
        <v>4</v>
      </c>
      <c r="AU77" s="26" t="s">
        <v>209</v>
      </c>
      <c r="AY77" s="63"/>
      <c r="AZ77" s="26" t="s">
        <v>199</v>
      </c>
      <c r="BG77" s="26">
        <v>1.49</v>
      </c>
      <c r="BH77" s="26">
        <v>1.5</v>
      </c>
      <c r="BJ77" s="26">
        <f t="shared" si="4"/>
        <v>0.88000000000000012</v>
      </c>
      <c r="BK77" s="26">
        <v>0.99</v>
      </c>
      <c r="BL77" s="26" t="s">
        <v>1851</v>
      </c>
      <c r="EJ77" s="12"/>
      <c r="EL77" s="15"/>
      <c r="FR77" s="26" t="s">
        <v>812</v>
      </c>
      <c r="FT77" s="26">
        <v>5</v>
      </c>
    </row>
    <row r="78" spans="1:176" s="26" customFormat="1" x14ac:dyDescent="0.25">
      <c r="A78" s="26">
        <v>5</v>
      </c>
      <c r="B78" s="26" t="s">
        <v>178</v>
      </c>
      <c r="C78" s="26" t="s">
        <v>179</v>
      </c>
      <c r="D78" s="26">
        <v>2013</v>
      </c>
      <c r="E78" s="26">
        <v>2012</v>
      </c>
      <c r="F78" s="26" t="s">
        <v>180</v>
      </c>
      <c r="G78" s="26" t="s">
        <v>198</v>
      </c>
      <c r="H78" s="26">
        <v>37.97</v>
      </c>
      <c r="I78" s="26">
        <v>-100.87</v>
      </c>
      <c r="J78" s="26">
        <v>865.6</v>
      </c>
      <c r="M78" s="26">
        <v>308</v>
      </c>
      <c r="N78" s="26">
        <v>489</v>
      </c>
      <c r="P78" s="52">
        <v>5</v>
      </c>
      <c r="Q78" s="52"/>
      <c r="R78" s="52"/>
      <c r="S78" s="52" t="s">
        <v>1556</v>
      </c>
      <c r="T78" s="52" t="s">
        <v>1556</v>
      </c>
      <c r="U78" s="52" t="s">
        <v>1556</v>
      </c>
      <c r="V78" s="52" t="s">
        <v>1904</v>
      </c>
      <c r="Z78" s="26" t="s">
        <v>531</v>
      </c>
      <c r="AD78" s="26" t="s">
        <v>1472</v>
      </c>
      <c r="AE78" s="26" t="s">
        <v>1700</v>
      </c>
      <c r="AF78" s="152" t="s">
        <v>1761</v>
      </c>
      <c r="AG78" s="26" t="s">
        <v>1794</v>
      </c>
      <c r="AH78" s="154" t="s">
        <v>1800</v>
      </c>
      <c r="AI78" s="26" t="s">
        <v>1795</v>
      </c>
      <c r="AJ78" s="26" t="s">
        <v>1795</v>
      </c>
      <c r="AK78" s="26" t="s">
        <v>212</v>
      </c>
      <c r="AR78" s="26" t="s">
        <v>147</v>
      </c>
      <c r="AS78" s="26">
        <v>4</v>
      </c>
      <c r="AT78" s="26">
        <v>4</v>
      </c>
      <c r="AU78" s="26" t="s">
        <v>209</v>
      </c>
      <c r="AY78" s="63"/>
      <c r="AZ78" s="26" t="s">
        <v>200</v>
      </c>
      <c r="BG78" s="26">
        <v>1.49</v>
      </c>
      <c r="BH78" s="26">
        <v>1.47</v>
      </c>
      <c r="BJ78" s="26">
        <f t="shared" si="4"/>
        <v>0.88000000000000012</v>
      </c>
      <c r="BK78" s="26">
        <v>1.04</v>
      </c>
      <c r="BL78" s="26" t="s">
        <v>1851</v>
      </c>
      <c r="EJ78" s="12"/>
      <c r="EL78" s="15"/>
      <c r="FR78" s="26" t="s">
        <v>812</v>
      </c>
      <c r="FT78" s="26">
        <v>5</v>
      </c>
    </row>
    <row r="79" spans="1:176" s="26" customFormat="1" x14ac:dyDescent="0.25">
      <c r="A79" s="26">
        <v>5</v>
      </c>
      <c r="B79" s="26" t="s">
        <v>178</v>
      </c>
      <c r="C79" s="26" t="s">
        <v>179</v>
      </c>
      <c r="D79" s="26">
        <v>2013</v>
      </c>
      <c r="E79" s="26">
        <v>2012</v>
      </c>
      <c r="F79" s="26" t="s">
        <v>180</v>
      </c>
      <c r="G79" s="26" t="s">
        <v>198</v>
      </c>
      <c r="H79" s="26">
        <v>37.97</v>
      </c>
      <c r="I79" s="26">
        <v>-100.87</v>
      </c>
      <c r="J79" s="26">
        <v>865.6</v>
      </c>
      <c r="M79" s="26">
        <v>308</v>
      </c>
      <c r="N79" s="26">
        <v>489</v>
      </c>
      <c r="P79" s="52">
        <v>5</v>
      </c>
      <c r="Q79" s="52"/>
      <c r="R79" s="52"/>
      <c r="S79" s="52" t="s">
        <v>1556</v>
      </c>
      <c r="T79" s="52" t="s">
        <v>1556</v>
      </c>
      <c r="U79" s="52" t="s">
        <v>1556</v>
      </c>
      <c r="V79" s="52" t="s">
        <v>1904</v>
      </c>
      <c r="Z79" s="26" t="s">
        <v>531</v>
      </c>
      <c r="AD79" s="26" t="s">
        <v>1472</v>
      </c>
      <c r="AE79" s="26" t="s">
        <v>1744</v>
      </c>
      <c r="AF79" s="152" t="s">
        <v>666</v>
      </c>
      <c r="AG79" s="26" t="s">
        <v>1794</v>
      </c>
      <c r="AH79" s="154" t="s">
        <v>1800</v>
      </c>
      <c r="AI79" s="26" t="s">
        <v>1795</v>
      </c>
      <c r="AJ79" s="26" t="s">
        <v>1795</v>
      </c>
      <c r="AK79" s="26" t="s">
        <v>212</v>
      </c>
      <c r="AR79" s="26" t="s">
        <v>147</v>
      </c>
      <c r="AS79" s="26">
        <v>4</v>
      </c>
      <c r="AT79" s="26">
        <v>4</v>
      </c>
      <c r="AU79" s="26" t="s">
        <v>209</v>
      </c>
      <c r="AY79" s="63"/>
      <c r="AZ79" s="26" t="s">
        <v>199</v>
      </c>
      <c r="BG79" s="26">
        <v>1.49</v>
      </c>
      <c r="BH79" s="26">
        <v>1.4</v>
      </c>
      <c r="BJ79" s="26">
        <f t="shared" si="4"/>
        <v>0.88000000000000012</v>
      </c>
      <c r="BK79" s="26">
        <v>0.99</v>
      </c>
      <c r="BL79" s="26" t="s">
        <v>1851</v>
      </c>
      <c r="EJ79" s="12"/>
      <c r="EL79" s="15"/>
      <c r="FR79" s="26" t="s">
        <v>812</v>
      </c>
      <c r="FT79" s="26">
        <v>5</v>
      </c>
    </row>
    <row r="80" spans="1:176" s="26" customFormat="1" x14ac:dyDescent="0.25">
      <c r="A80" s="26">
        <v>5</v>
      </c>
      <c r="B80" s="26" t="s">
        <v>178</v>
      </c>
      <c r="C80" s="26" t="s">
        <v>179</v>
      </c>
      <c r="D80" s="26">
        <v>2013</v>
      </c>
      <c r="E80" s="26">
        <v>2012</v>
      </c>
      <c r="F80" s="26" t="s">
        <v>180</v>
      </c>
      <c r="G80" s="26" t="s">
        <v>198</v>
      </c>
      <c r="H80" s="26">
        <v>37.97</v>
      </c>
      <c r="I80" s="26">
        <v>-100.87</v>
      </c>
      <c r="J80" s="26">
        <v>865.6</v>
      </c>
      <c r="M80" s="26">
        <v>308</v>
      </c>
      <c r="N80" s="26">
        <v>489</v>
      </c>
      <c r="P80" s="52">
        <v>5</v>
      </c>
      <c r="Q80" s="52"/>
      <c r="R80" s="52"/>
      <c r="S80" s="52" t="s">
        <v>1556</v>
      </c>
      <c r="T80" s="52" t="s">
        <v>1556</v>
      </c>
      <c r="U80" s="52" t="s">
        <v>1556</v>
      </c>
      <c r="V80" s="52" t="s">
        <v>1904</v>
      </c>
      <c r="Z80" s="26" t="s">
        <v>531</v>
      </c>
      <c r="AD80" s="26" t="s">
        <v>1472</v>
      </c>
      <c r="AE80" s="26" t="s">
        <v>1748</v>
      </c>
      <c r="AF80" s="152" t="s">
        <v>666</v>
      </c>
      <c r="AG80" s="26" t="s">
        <v>1794</v>
      </c>
      <c r="AH80" s="154" t="s">
        <v>1800</v>
      </c>
      <c r="AI80" s="26" t="s">
        <v>1795</v>
      </c>
      <c r="AJ80" s="26" t="s">
        <v>1795</v>
      </c>
      <c r="AK80" s="26" t="s">
        <v>212</v>
      </c>
      <c r="AR80" s="26" t="s">
        <v>147</v>
      </c>
      <c r="AS80" s="26">
        <v>4</v>
      </c>
      <c r="AT80" s="26">
        <v>4</v>
      </c>
      <c r="AU80" s="26" t="s">
        <v>209</v>
      </c>
      <c r="AY80" s="63"/>
      <c r="AZ80" s="26" t="s">
        <v>200</v>
      </c>
      <c r="BG80" s="26">
        <v>1.49</v>
      </c>
      <c r="BH80" s="26">
        <v>1.4</v>
      </c>
      <c r="BJ80" s="26">
        <f t="shared" si="4"/>
        <v>0.88000000000000012</v>
      </c>
      <c r="BK80" s="26">
        <v>1.06</v>
      </c>
      <c r="BL80" s="26" t="s">
        <v>1851</v>
      </c>
      <c r="EJ80" s="12"/>
      <c r="EL80" s="15"/>
      <c r="FR80" s="26" t="s">
        <v>812</v>
      </c>
      <c r="FT80" s="26">
        <v>5</v>
      </c>
    </row>
    <row r="81" spans="1:176" s="23" customFormat="1" x14ac:dyDescent="0.25">
      <c r="A81" s="23">
        <v>6</v>
      </c>
      <c r="B81" s="23" t="s">
        <v>206</v>
      </c>
      <c r="C81" s="23" t="s">
        <v>207</v>
      </c>
      <c r="D81" s="23">
        <v>2016</v>
      </c>
      <c r="E81" s="23">
        <v>2012</v>
      </c>
      <c r="F81" s="23" t="s">
        <v>208</v>
      </c>
      <c r="H81" s="23">
        <v>35.380000000000003</v>
      </c>
      <c r="I81" s="23">
        <v>-77.989999999999995</v>
      </c>
      <c r="J81" s="23">
        <v>32.700000000000003</v>
      </c>
      <c r="P81" s="53">
        <v>1</v>
      </c>
      <c r="Q81" s="53"/>
      <c r="R81" s="53"/>
      <c r="S81" s="53" t="s">
        <v>1558</v>
      </c>
      <c r="T81" s="53" t="s">
        <v>1558</v>
      </c>
      <c r="U81" s="53" t="s">
        <v>1558</v>
      </c>
      <c r="V81" s="53" t="s">
        <v>1905</v>
      </c>
      <c r="X81" s="23">
        <f>(21.7+27.4)/2</f>
        <v>24.549999999999997</v>
      </c>
      <c r="Y81" s="23">
        <f>(60+63.7)/2</f>
        <v>61.85</v>
      </c>
      <c r="Z81" s="23" t="s">
        <v>210</v>
      </c>
      <c r="AD81" s="23" t="s">
        <v>1473</v>
      </c>
      <c r="AE81" s="23" t="s">
        <v>1701</v>
      </c>
      <c r="AF81" s="152" t="s">
        <v>666</v>
      </c>
      <c r="AG81" s="23" t="s">
        <v>190</v>
      </c>
      <c r="AH81" s="155" t="s">
        <v>190</v>
      </c>
      <c r="AL81" s="23" t="s">
        <v>211</v>
      </c>
      <c r="AM81" s="23" t="s">
        <v>211</v>
      </c>
      <c r="AN81" s="23" t="s">
        <v>212</v>
      </c>
      <c r="AR81" s="24" t="s">
        <v>192</v>
      </c>
      <c r="AS81" s="23">
        <v>6</v>
      </c>
      <c r="AT81" s="23">
        <v>6</v>
      </c>
      <c r="AU81" s="23" t="s">
        <v>209</v>
      </c>
      <c r="AW81" s="23">
        <f>9.66*1000</f>
        <v>9660</v>
      </c>
      <c r="AY81" s="64"/>
      <c r="CH81" s="23">
        <v>5.0199999999999996</v>
      </c>
      <c r="CI81" s="23">
        <v>3.22</v>
      </c>
      <c r="CJ81" s="23" t="s">
        <v>219</v>
      </c>
      <c r="DI81" s="23">
        <v>0.16159999999999999</v>
      </c>
      <c r="DJ81" s="23">
        <v>0.1666</v>
      </c>
      <c r="EJ81" s="12"/>
      <c r="EL81" s="15"/>
      <c r="EM81" s="23">
        <v>501.83</v>
      </c>
      <c r="EN81" s="23">
        <v>441.12</v>
      </c>
      <c r="EO81" s="23" t="s">
        <v>370</v>
      </c>
      <c r="FH81" s="23">
        <v>329.48</v>
      </c>
      <c r="FI81" s="23">
        <v>341.32</v>
      </c>
      <c r="FJ81" s="23" t="s">
        <v>368</v>
      </c>
      <c r="FT81" s="23">
        <v>6</v>
      </c>
    </row>
    <row r="82" spans="1:176" s="23" customFormat="1" x14ac:dyDescent="0.25">
      <c r="A82" s="23">
        <v>6</v>
      </c>
      <c r="B82" s="23" t="s">
        <v>206</v>
      </c>
      <c r="C82" s="23" t="s">
        <v>207</v>
      </c>
      <c r="D82" s="23">
        <v>2016</v>
      </c>
      <c r="E82" s="23">
        <v>2012</v>
      </c>
      <c r="F82" s="23" t="s">
        <v>208</v>
      </c>
      <c r="H82" s="23">
        <v>35.380000000000003</v>
      </c>
      <c r="I82" s="23">
        <v>-77.989999999999995</v>
      </c>
      <c r="J82" s="23">
        <v>32.700000000000003</v>
      </c>
      <c r="P82" s="53">
        <v>1</v>
      </c>
      <c r="Q82" s="53"/>
      <c r="R82" s="53"/>
      <c r="S82" s="53" t="s">
        <v>1558</v>
      </c>
      <c r="T82" s="53" t="s">
        <v>1558</v>
      </c>
      <c r="U82" s="53" t="s">
        <v>1558</v>
      </c>
      <c r="V82" s="53" t="s">
        <v>1905</v>
      </c>
      <c r="X82" s="23">
        <f>(21.7+27.4)/2</f>
        <v>24.549999999999997</v>
      </c>
      <c r="Y82" s="23">
        <f>(60+63.7)/2</f>
        <v>61.85</v>
      </c>
      <c r="Z82" s="23" t="s">
        <v>210</v>
      </c>
      <c r="AD82" s="23" t="s">
        <v>1473</v>
      </c>
      <c r="AE82" s="23" t="s">
        <v>281</v>
      </c>
      <c r="AF82" s="152" t="s">
        <v>666</v>
      </c>
      <c r="AG82" s="23" t="s">
        <v>190</v>
      </c>
      <c r="AH82" s="155" t="s">
        <v>190</v>
      </c>
      <c r="AL82" s="23" t="s">
        <v>211</v>
      </c>
      <c r="AM82" s="23" t="s">
        <v>211</v>
      </c>
      <c r="AN82" s="23" t="s">
        <v>212</v>
      </c>
      <c r="AR82" s="24" t="s">
        <v>192</v>
      </c>
      <c r="AS82" s="23">
        <v>6</v>
      </c>
      <c r="AT82" s="23">
        <v>6</v>
      </c>
      <c r="AU82" s="23" t="s">
        <v>209</v>
      </c>
      <c r="AW82" s="23">
        <f>8.83*1000</f>
        <v>8830</v>
      </c>
      <c r="AY82" s="64"/>
      <c r="CH82" s="23">
        <v>5.0199999999999996</v>
      </c>
      <c r="CI82" s="23">
        <v>3.64</v>
      </c>
      <c r="CJ82" s="23" t="s">
        <v>219</v>
      </c>
      <c r="DI82" s="23">
        <v>0.1618</v>
      </c>
      <c r="DJ82" s="23">
        <v>0.1472</v>
      </c>
      <c r="EJ82" s="12"/>
      <c r="EL82" s="15"/>
      <c r="EM82" s="23">
        <v>501.83</v>
      </c>
      <c r="EN82" s="23">
        <v>477.97</v>
      </c>
      <c r="EO82" s="23" t="s">
        <v>370</v>
      </c>
      <c r="FH82" s="23">
        <v>329.48</v>
      </c>
      <c r="FI82" s="23">
        <v>337.39</v>
      </c>
      <c r="FJ82" s="23" t="s">
        <v>368</v>
      </c>
      <c r="FT82" s="23">
        <v>6</v>
      </c>
    </row>
    <row r="83" spans="1:176" s="23" customFormat="1" x14ac:dyDescent="0.25">
      <c r="A83" s="23">
        <v>6</v>
      </c>
      <c r="B83" s="23" t="s">
        <v>206</v>
      </c>
      <c r="C83" s="23" t="s">
        <v>207</v>
      </c>
      <c r="D83" s="23">
        <v>2016</v>
      </c>
      <c r="E83" s="23">
        <v>2013</v>
      </c>
      <c r="F83" s="23" t="s">
        <v>208</v>
      </c>
      <c r="H83" s="23">
        <v>35.380000000000003</v>
      </c>
      <c r="I83" s="23">
        <v>-77.989999999999995</v>
      </c>
      <c r="J83" s="23">
        <v>32.700000000000003</v>
      </c>
      <c r="P83" s="53">
        <v>2</v>
      </c>
      <c r="Q83" s="53"/>
      <c r="R83" s="53"/>
      <c r="S83" s="53" t="s">
        <v>1558</v>
      </c>
      <c r="T83" s="53" t="s">
        <v>1558</v>
      </c>
      <c r="U83" s="53" t="s">
        <v>1558</v>
      </c>
      <c r="V83" s="53" t="s">
        <v>1905</v>
      </c>
      <c r="X83" s="23">
        <f>(21.7+27.4)/2</f>
        <v>24.549999999999997</v>
      </c>
      <c r="Y83" s="23">
        <f>(60+63.7)/2</f>
        <v>61.85</v>
      </c>
      <c r="Z83" s="23" t="s">
        <v>210</v>
      </c>
      <c r="AD83" s="23" t="s">
        <v>1473</v>
      </c>
      <c r="AE83" s="23" t="s">
        <v>1701</v>
      </c>
      <c r="AF83" s="152" t="s">
        <v>666</v>
      </c>
      <c r="AG83" s="23" t="s">
        <v>190</v>
      </c>
      <c r="AH83" s="155" t="s">
        <v>190</v>
      </c>
      <c r="AL83" s="23" t="s">
        <v>211</v>
      </c>
      <c r="AM83" s="23" t="s">
        <v>211</v>
      </c>
      <c r="AN83" s="23" t="s">
        <v>212</v>
      </c>
      <c r="AR83" s="24" t="s">
        <v>192</v>
      </c>
      <c r="AS83" s="23">
        <v>6</v>
      </c>
      <c r="AT83" s="23">
        <v>6</v>
      </c>
      <c r="AU83" s="23" t="s">
        <v>209</v>
      </c>
      <c r="AW83" s="23">
        <f>4.42*1000</f>
        <v>4420</v>
      </c>
      <c r="AY83" s="64"/>
      <c r="CH83" s="23">
        <v>2.99</v>
      </c>
      <c r="CI83" s="23">
        <v>2.33</v>
      </c>
      <c r="CJ83" s="23" t="s">
        <v>219</v>
      </c>
      <c r="DI83" s="23">
        <v>0.1163</v>
      </c>
      <c r="DJ83" s="23">
        <v>0.1176</v>
      </c>
      <c r="EJ83" s="12"/>
      <c r="EL83" s="15"/>
      <c r="EM83" s="23">
        <v>501.83</v>
      </c>
      <c r="EN83" s="23">
        <v>441.12</v>
      </c>
      <c r="EO83" s="23" t="s">
        <v>370</v>
      </c>
      <c r="FH83" s="23">
        <v>329.48</v>
      </c>
      <c r="FI83" s="23">
        <v>341.32</v>
      </c>
      <c r="FJ83" s="23" t="s">
        <v>368</v>
      </c>
      <c r="FT83" s="23">
        <v>6</v>
      </c>
    </row>
    <row r="84" spans="1:176" s="23" customFormat="1" x14ac:dyDescent="0.25">
      <c r="A84" s="23">
        <v>6</v>
      </c>
      <c r="B84" s="23" t="s">
        <v>206</v>
      </c>
      <c r="C84" s="23" t="s">
        <v>207</v>
      </c>
      <c r="D84" s="23">
        <v>2016</v>
      </c>
      <c r="E84" s="23">
        <v>2013</v>
      </c>
      <c r="F84" s="23" t="s">
        <v>208</v>
      </c>
      <c r="H84" s="23">
        <v>35.380000000000003</v>
      </c>
      <c r="I84" s="23">
        <v>-77.989999999999995</v>
      </c>
      <c r="J84" s="23">
        <v>32.700000000000003</v>
      </c>
      <c r="P84" s="53">
        <v>2</v>
      </c>
      <c r="Q84" s="53"/>
      <c r="R84" s="53"/>
      <c r="S84" s="53" t="s">
        <v>1558</v>
      </c>
      <c r="T84" s="53" t="s">
        <v>1558</v>
      </c>
      <c r="U84" s="53" t="s">
        <v>1558</v>
      </c>
      <c r="V84" s="53" t="s">
        <v>1905</v>
      </c>
      <c r="X84" s="23">
        <f>(21.7+27.4)/2</f>
        <v>24.549999999999997</v>
      </c>
      <c r="Y84" s="23">
        <f>(60+63.7)/2</f>
        <v>61.85</v>
      </c>
      <c r="Z84" s="23" t="s">
        <v>210</v>
      </c>
      <c r="AD84" s="23" t="s">
        <v>1473</v>
      </c>
      <c r="AE84" s="23" t="s">
        <v>281</v>
      </c>
      <c r="AF84" s="152" t="s">
        <v>666</v>
      </c>
      <c r="AG84" s="23" t="s">
        <v>190</v>
      </c>
      <c r="AH84" s="155" t="s">
        <v>190</v>
      </c>
      <c r="AL84" s="23" t="s">
        <v>211</v>
      </c>
      <c r="AM84" s="23" t="s">
        <v>211</v>
      </c>
      <c r="AN84" s="23" t="s">
        <v>212</v>
      </c>
      <c r="AR84" s="24" t="s">
        <v>192</v>
      </c>
      <c r="AS84" s="23">
        <v>6</v>
      </c>
      <c r="AT84" s="23">
        <v>6</v>
      </c>
      <c r="AU84" s="23" t="s">
        <v>209</v>
      </c>
      <c r="AW84" s="23">
        <f>5.46*1000</f>
        <v>5460</v>
      </c>
      <c r="AY84" s="64"/>
      <c r="CH84" s="23">
        <v>2.99</v>
      </c>
      <c r="CI84" s="23">
        <v>3.17</v>
      </c>
      <c r="CJ84" s="23" t="s">
        <v>219</v>
      </c>
      <c r="DI84" s="23">
        <v>0.1163</v>
      </c>
      <c r="DJ84" s="23">
        <v>0.12620000000000001</v>
      </c>
      <c r="EJ84" s="12"/>
      <c r="EL84" s="15"/>
      <c r="EM84" s="23">
        <v>501.83</v>
      </c>
      <c r="EN84" s="23">
        <v>447.97</v>
      </c>
      <c r="EO84" s="23" t="s">
        <v>370</v>
      </c>
      <c r="FH84" s="23">
        <v>329.48</v>
      </c>
      <c r="FI84" s="23">
        <v>337.39</v>
      </c>
      <c r="FJ84" s="23" t="s">
        <v>368</v>
      </c>
      <c r="FT84" s="23">
        <v>6</v>
      </c>
    </row>
    <row r="85" spans="1:176" s="26" customFormat="1" x14ac:dyDescent="0.25">
      <c r="A85" s="26">
        <v>7</v>
      </c>
      <c r="B85" s="26" t="s">
        <v>222</v>
      </c>
      <c r="C85" s="26" t="s">
        <v>223</v>
      </c>
      <c r="D85" s="26">
        <v>1999</v>
      </c>
      <c r="E85" s="26">
        <v>1995</v>
      </c>
      <c r="F85" s="26" t="s">
        <v>155</v>
      </c>
      <c r="G85" s="26" t="s">
        <v>224</v>
      </c>
      <c r="H85" s="26">
        <v>45.23</v>
      </c>
      <c r="I85" s="26">
        <v>-122.76</v>
      </c>
      <c r="J85" s="26">
        <v>48.4</v>
      </c>
      <c r="N85" s="26">
        <v>1040</v>
      </c>
      <c r="O85" s="26" t="s">
        <v>161</v>
      </c>
      <c r="P85" s="52">
        <v>2</v>
      </c>
      <c r="Q85" s="52"/>
      <c r="R85" s="52"/>
      <c r="S85" s="52" t="s">
        <v>1555</v>
      </c>
      <c r="T85" s="52" t="s">
        <v>1555</v>
      </c>
      <c r="U85" s="52" t="s">
        <v>1593</v>
      </c>
      <c r="V85" s="52" t="s">
        <v>1903</v>
      </c>
      <c r="X85" s="26">
        <f>313/(313+540+147)*100</f>
        <v>31.3</v>
      </c>
      <c r="Y85" s="26">
        <f>540/(313+540+147)*100</f>
        <v>54</v>
      </c>
      <c r="Z85" s="26" t="s">
        <v>531</v>
      </c>
      <c r="AA85" s="26">
        <v>6.3</v>
      </c>
      <c r="AB85" s="26">
        <f>18/1000*100</f>
        <v>1.7999999999999998</v>
      </c>
      <c r="AC85" s="26">
        <v>60</v>
      </c>
      <c r="AD85" s="26" t="s">
        <v>1468</v>
      </c>
      <c r="AE85" s="26" t="s">
        <v>159</v>
      </c>
      <c r="AF85" s="152" t="s">
        <v>159</v>
      </c>
      <c r="AG85" s="26" t="s">
        <v>895</v>
      </c>
      <c r="AH85" s="154" t="s">
        <v>1796</v>
      </c>
      <c r="AI85" s="26" t="s">
        <v>241</v>
      </c>
      <c r="AJ85" s="26" t="s">
        <v>241</v>
      </c>
      <c r="AK85" s="26" t="s">
        <v>212</v>
      </c>
      <c r="AR85" s="26" t="s">
        <v>147</v>
      </c>
      <c r="AS85" s="26">
        <v>4</v>
      </c>
      <c r="AT85" s="26">
        <v>4</v>
      </c>
      <c r="AU85" s="26" t="s">
        <v>169</v>
      </c>
      <c r="AY85" s="63"/>
      <c r="EJ85" s="12"/>
      <c r="EL85" s="15"/>
      <c r="EY85" s="26">
        <f>970/22.7273</f>
        <v>42.679948784061459</v>
      </c>
      <c r="EZ85" s="26">
        <f>610/22.7273</f>
        <v>26.839967792038649</v>
      </c>
      <c r="FA85" s="26">
        <f>400/22.7273</f>
        <v>17.599978880025343</v>
      </c>
      <c r="FH85" s="26">
        <v>140</v>
      </c>
      <c r="FI85" s="26">
        <v>204</v>
      </c>
      <c r="FJ85" s="26">
        <v>58</v>
      </c>
      <c r="FT85" s="26">
        <v>7</v>
      </c>
    </row>
    <row r="86" spans="1:176" s="26" customFormat="1" x14ac:dyDescent="0.25">
      <c r="A86" s="26">
        <v>7</v>
      </c>
      <c r="B86" s="26" t="s">
        <v>222</v>
      </c>
      <c r="C86" s="26" t="s">
        <v>223</v>
      </c>
      <c r="D86" s="26">
        <v>1999</v>
      </c>
      <c r="E86" s="26">
        <v>1995</v>
      </c>
      <c r="F86" s="26" t="s">
        <v>155</v>
      </c>
      <c r="G86" s="26" t="s">
        <v>224</v>
      </c>
      <c r="H86" s="26">
        <v>45.23</v>
      </c>
      <c r="I86" s="26">
        <v>-122.76</v>
      </c>
      <c r="J86" s="26">
        <v>48.4</v>
      </c>
      <c r="N86" s="26">
        <v>1040</v>
      </c>
      <c r="O86" s="26" t="s">
        <v>161</v>
      </c>
      <c r="P86" s="52">
        <v>2</v>
      </c>
      <c r="Q86" s="52"/>
      <c r="R86" s="52"/>
      <c r="S86" s="52" t="s">
        <v>1559</v>
      </c>
      <c r="T86" s="52" t="s">
        <v>1555</v>
      </c>
      <c r="U86" s="52" t="s">
        <v>1593</v>
      </c>
      <c r="V86" s="52" t="s">
        <v>1903</v>
      </c>
      <c r="X86" s="26">
        <f>313/(313+540+147)*100</f>
        <v>31.3</v>
      </c>
      <c r="Y86" s="26">
        <f>540/(313+540+147)*100</f>
        <v>54</v>
      </c>
      <c r="Z86" s="26" t="s">
        <v>531</v>
      </c>
      <c r="AB86" s="26">
        <f>18/1000*100</f>
        <v>1.7999999999999998</v>
      </c>
      <c r="AD86" s="26" t="s">
        <v>1468</v>
      </c>
      <c r="AE86" s="26" t="s">
        <v>159</v>
      </c>
      <c r="AF86" s="152" t="s">
        <v>159</v>
      </c>
      <c r="AG86" s="26" t="s">
        <v>895</v>
      </c>
      <c r="AH86" s="154" t="s">
        <v>1796</v>
      </c>
      <c r="AI86" s="26" t="s">
        <v>241</v>
      </c>
      <c r="AJ86" s="26" t="s">
        <v>241</v>
      </c>
      <c r="AK86" s="26" t="s">
        <v>212</v>
      </c>
      <c r="AR86" s="26" t="s">
        <v>147</v>
      </c>
      <c r="AS86" s="26">
        <v>4</v>
      </c>
      <c r="AT86" s="26">
        <v>4</v>
      </c>
      <c r="AU86" s="26" t="s">
        <v>169</v>
      </c>
      <c r="AY86" s="63"/>
      <c r="EJ86" s="12"/>
      <c r="EL86" s="15"/>
      <c r="EY86" s="26">
        <f>276/22.7273</f>
        <v>12.143985427217487</v>
      </c>
      <c r="EZ86" s="26">
        <f>260/22.7273</f>
        <v>11.439986272016474</v>
      </c>
      <c r="FA86" s="26">
        <f>116/22.7273</f>
        <v>5.1039938752073502</v>
      </c>
      <c r="FH86" s="26">
        <v>148</v>
      </c>
      <c r="FI86" s="26">
        <v>135</v>
      </c>
      <c r="FJ86" s="26">
        <v>62</v>
      </c>
      <c r="FT86" s="26">
        <v>7</v>
      </c>
    </row>
    <row r="87" spans="1:176" s="26" customFormat="1" x14ac:dyDescent="0.25">
      <c r="A87" s="26">
        <v>7</v>
      </c>
      <c r="B87" s="26" t="s">
        <v>222</v>
      </c>
      <c r="C87" s="26" t="s">
        <v>223</v>
      </c>
      <c r="D87" s="26">
        <v>1999</v>
      </c>
      <c r="E87" s="26">
        <v>1995</v>
      </c>
      <c r="F87" s="26" t="s">
        <v>155</v>
      </c>
      <c r="G87" s="26" t="s">
        <v>224</v>
      </c>
      <c r="H87" s="26">
        <v>45.23</v>
      </c>
      <c r="I87" s="26">
        <v>-122.76</v>
      </c>
      <c r="J87" s="26">
        <v>48.4</v>
      </c>
      <c r="N87" s="26">
        <v>1040</v>
      </c>
      <c r="O87" s="26" t="s">
        <v>161</v>
      </c>
      <c r="P87" s="52">
        <v>2</v>
      </c>
      <c r="Q87" s="52"/>
      <c r="R87" s="52"/>
      <c r="S87" s="52" t="s">
        <v>1560</v>
      </c>
      <c r="T87" s="52" t="s">
        <v>1555</v>
      </c>
      <c r="U87" s="52" t="s">
        <v>1593</v>
      </c>
      <c r="V87" s="52" t="s">
        <v>1903</v>
      </c>
      <c r="X87" s="26">
        <f>313/(313+540+147)*100</f>
        <v>31.3</v>
      </c>
      <c r="Y87" s="26">
        <f>540/(313+540+147)*100</f>
        <v>54</v>
      </c>
      <c r="Z87" s="26" t="s">
        <v>531</v>
      </c>
      <c r="AA87" s="26">
        <v>6.3</v>
      </c>
      <c r="AB87" s="26">
        <f>9.4/1000*100</f>
        <v>0.94000000000000006</v>
      </c>
      <c r="AC87" s="26">
        <v>7</v>
      </c>
      <c r="AD87" s="26" t="s">
        <v>1468</v>
      </c>
      <c r="AE87" s="26" t="s">
        <v>159</v>
      </c>
      <c r="AF87" s="152" t="s">
        <v>159</v>
      </c>
      <c r="AG87" s="26" t="s">
        <v>895</v>
      </c>
      <c r="AH87" s="154" t="s">
        <v>1796</v>
      </c>
      <c r="AI87" s="26" t="s">
        <v>241</v>
      </c>
      <c r="AJ87" s="26" t="s">
        <v>241</v>
      </c>
      <c r="AK87" s="26" t="s">
        <v>212</v>
      </c>
      <c r="AR87" s="26" t="s">
        <v>147</v>
      </c>
      <c r="AS87" s="26">
        <v>4</v>
      </c>
      <c r="AT87" s="26">
        <v>4</v>
      </c>
      <c r="AU87" s="26" t="s">
        <v>169</v>
      </c>
      <c r="AY87" s="63"/>
      <c r="EJ87" s="12"/>
      <c r="EL87" s="15"/>
      <c r="EY87" s="26">
        <f>352/22.7273</f>
        <v>15.487981414422302</v>
      </c>
      <c r="EZ87" s="26">
        <f>90/22.7273</f>
        <v>3.9599952480057024</v>
      </c>
      <c r="FA87" s="26">
        <f>144/22.7273</f>
        <v>6.3359923968091243</v>
      </c>
      <c r="FH87" s="26">
        <v>86</v>
      </c>
      <c r="FI87" s="26">
        <v>45</v>
      </c>
      <c r="FJ87" s="26">
        <v>35</v>
      </c>
      <c r="FT87" s="26">
        <v>7</v>
      </c>
    </row>
    <row r="88" spans="1:176" s="26" customFormat="1" x14ac:dyDescent="0.25">
      <c r="A88" s="26">
        <v>7</v>
      </c>
      <c r="B88" s="26" t="s">
        <v>222</v>
      </c>
      <c r="C88" s="26" t="s">
        <v>223</v>
      </c>
      <c r="D88" s="26">
        <v>1999</v>
      </c>
      <c r="E88" s="26">
        <v>1995</v>
      </c>
      <c r="F88" s="26" t="s">
        <v>155</v>
      </c>
      <c r="G88" s="26" t="s">
        <v>224</v>
      </c>
      <c r="H88" s="26">
        <v>45.23</v>
      </c>
      <c r="I88" s="26">
        <v>-122.76</v>
      </c>
      <c r="J88" s="26">
        <v>48.4</v>
      </c>
      <c r="N88" s="26">
        <v>1040</v>
      </c>
      <c r="O88" s="26" t="s">
        <v>161</v>
      </c>
      <c r="P88" s="52">
        <v>2</v>
      </c>
      <c r="Q88" s="52"/>
      <c r="R88" s="52"/>
      <c r="S88" s="52" t="s">
        <v>1561</v>
      </c>
      <c r="T88" s="52" t="s">
        <v>1555</v>
      </c>
      <c r="U88" s="52" t="s">
        <v>1593</v>
      </c>
      <c r="V88" s="52" t="s">
        <v>1903</v>
      </c>
      <c r="X88" s="26">
        <f>313/(313+540+147)*100</f>
        <v>31.3</v>
      </c>
      <c r="Y88" s="26">
        <f>540/(313+540+147)*100</f>
        <v>54</v>
      </c>
      <c r="Z88" s="26" t="s">
        <v>531</v>
      </c>
      <c r="AB88" s="26">
        <f>6.5/1000*100</f>
        <v>0.65</v>
      </c>
      <c r="AD88" s="26" t="s">
        <v>1468</v>
      </c>
      <c r="AE88" s="26" t="s">
        <v>159</v>
      </c>
      <c r="AF88" s="152" t="s">
        <v>159</v>
      </c>
      <c r="AG88" s="26" t="s">
        <v>895</v>
      </c>
      <c r="AH88" s="154" t="s">
        <v>1796</v>
      </c>
      <c r="AI88" s="26" t="s">
        <v>241</v>
      </c>
      <c r="AJ88" s="26" t="s">
        <v>241</v>
      </c>
      <c r="AK88" s="26" t="s">
        <v>212</v>
      </c>
      <c r="AR88" s="26" t="s">
        <v>147</v>
      </c>
      <c r="AS88" s="26">
        <v>4</v>
      </c>
      <c r="AT88" s="26">
        <v>4</v>
      </c>
      <c r="AU88" s="26" t="s">
        <v>169</v>
      </c>
      <c r="AY88" s="63"/>
      <c r="EJ88" s="12"/>
      <c r="EL88" s="15"/>
      <c r="EY88" s="26">
        <f>60/22.7273</f>
        <v>2.6399968320038014</v>
      </c>
      <c r="EZ88" s="26">
        <f>150/22.7273</f>
        <v>6.5999920800095042</v>
      </c>
      <c r="FA88" s="26">
        <f>26/22.7273</f>
        <v>1.1439986272016474</v>
      </c>
      <c r="FH88" s="26">
        <v>28</v>
      </c>
      <c r="FI88" s="26">
        <v>29</v>
      </c>
      <c r="FJ88" s="26">
        <v>12</v>
      </c>
      <c r="FT88" s="26">
        <v>7</v>
      </c>
    </row>
    <row r="89" spans="1:176" s="26" customFormat="1" x14ac:dyDescent="0.25">
      <c r="A89" s="26">
        <v>7</v>
      </c>
      <c r="B89" s="26" t="s">
        <v>222</v>
      </c>
      <c r="C89" s="26" t="s">
        <v>223</v>
      </c>
      <c r="D89" s="26">
        <v>1999</v>
      </c>
      <c r="E89" s="26">
        <v>1995</v>
      </c>
      <c r="F89" s="26" t="s">
        <v>155</v>
      </c>
      <c r="G89" s="26" t="s">
        <v>224</v>
      </c>
      <c r="H89" s="26">
        <v>45.23</v>
      </c>
      <c r="I89" s="26">
        <v>-122.76</v>
      </c>
      <c r="J89" s="26">
        <v>48.4</v>
      </c>
      <c r="N89" s="26">
        <v>1040</v>
      </c>
      <c r="O89" s="26" t="s">
        <v>161</v>
      </c>
      <c r="P89" s="52">
        <v>2</v>
      </c>
      <c r="Q89" s="52"/>
      <c r="R89" s="52"/>
      <c r="S89" s="52" t="s">
        <v>1562</v>
      </c>
      <c r="T89" s="52" t="s">
        <v>1555</v>
      </c>
      <c r="U89" s="52" t="s">
        <v>1593</v>
      </c>
      <c r="V89" s="52" t="s">
        <v>1903</v>
      </c>
      <c r="X89" s="26">
        <f>313/(313+540+147)*100</f>
        <v>31.3</v>
      </c>
      <c r="Y89" s="26">
        <f>540/(313+540+147)*100</f>
        <v>54</v>
      </c>
      <c r="Z89" s="26" t="s">
        <v>531</v>
      </c>
      <c r="AA89" s="26">
        <v>6.2</v>
      </c>
      <c r="AB89" s="26">
        <f>4.7/1000*100</f>
        <v>0.47000000000000003</v>
      </c>
      <c r="AC89" s="26">
        <v>0.7</v>
      </c>
      <c r="AD89" s="26" t="s">
        <v>1468</v>
      </c>
      <c r="AE89" s="26" t="s">
        <v>159</v>
      </c>
      <c r="AF89" s="152" t="s">
        <v>159</v>
      </c>
      <c r="AG89" s="26" t="s">
        <v>895</v>
      </c>
      <c r="AH89" s="154" t="s">
        <v>1796</v>
      </c>
      <c r="AI89" s="26" t="s">
        <v>241</v>
      </c>
      <c r="AJ89" s="26" t="s">
        <v>241</v>
      </c>
      <c r="AK89" s="26" t="s">
        <v>212</v>
      </c>
      <c r="AR89" s="26" t="s">
        <v>147</v>
      </c>
      <c r="AS89" s="26">
        <v>4</v>
      </c>
      <c r="AT89" s="26">
        <v>4</v>
      </c>
      <c r="AU89" s="26" t="s">
        <v>169</v>
      </c>
      <c r="AY89" s="63"/>
      <c r="EJ89" s="12"/>
      <c r="EL89" s="15"/>
      <c r="EY89" s="26">
        <f>80/22.7273</f>
        <v>3.5199957760050689</v>
      </c>
      <c r="EZ89" s="26">
        <f>70/22.7273</f>
        <v>3.0799963040044354</v>
      </c>
      <c r="FA89" s="26">
        <f>33/22.7273</f>
        <v>1.4519982576020909</v>
      </c>
      <c r="FT89" s="26">
        <v>7</v>
      </c>
    </row>
    <row r="90" spans="1:176" s="169" customFormat="1" x14ac:dyDescent="0.25">
      <c r="A90" s="169">
        <v>8</v>
      </c>
      <c r="B90" s="169" t="s">
        <v>235</v>
      </c>
      <c r="C90" s="169" t="s">
        <v>236</v>
      </c>
      <c r="D90" s="169">
        <v>2016</v>
      </c>
      <c r="E90" s="169">
        <v>2010</v>
      </c>
      <c r="F90" s="169" t="s">
        <v>237</v>
      </c>
      <c r="G90" s="169" t="s">
        <v>238</v>
      </c>
      <c r="H90" s="169">
        <f>42+4/60</f>
        <v>42.06666666666667</v>
      </c>
      <c r="I90" s="169">
        <f>-86-21/60</f>
        <v>-86.35</v>
      </c>
      <c r="J90" s="169">
        <v>205</v>
      </c>
      <c r="P90" s="171">
        <v>1</v>
      </c>
      <c r="Q90" s="171"/>
      <c r="R90" s="171" t="s">
        <v>239</v>
      </c>
      <c r="S90" s="171" t="s">
        <v>1553</v>
      </c>
      <c r="T90" s="171" t="s">
        <v>1553</v>
      </c>
      <c r="U90" s="171" t="s">
        <v>1553</v>
      </c>
      <c r="V90" s="171" t="s">
        <v>1553</v>
      </c>
      <c r="Z90" s="169" t="s">
        <v>240</v>
      </c>
      <c r="AD90" s="169" t="s">
        <v>1474</v>
      </c>
      <c r="AE90" s="169" t="s">
        <v>159</v>
      </c>
      <c r="AF90" s="169" t="s">
        <v>159</v>
      </c>
      <c r="AG90" s="169" t="s">
        <v>1798</v>
      </c>
      <c r="AH90" s="169" t="s">
        <v>1796</v>
      </c>
      <c r="AI90" s="169" t="s">
        <v>244</v>
      </c>
      <c r="AJ90" s="169" t="s">
        <v>244</v>
      </c>
      <c r="AK90" s="169" t="s">
        <v>212</v>
      </c>
      <c r="AL90" s="169" t="s">
        <v>243</v>
      </c>
      <c r="AM90" s="169" t="s">
        <v>243</v>
      </c>
      <c r="AN90" s="169" t="s">
        <v>212</v>
      </c>
      <c r="AP90" s="169" t="s">
        <v>242</v>
      </c>
      <c r="AR90" s="169" t="s">
        <v>147</v>
      </c>
      <c r="AS90" s="173">
        <v>4</v>
      </c>
      <c r="AT90" s="173">
        <v>4</v>
      </c>
      <c r="AU90" s="173" t="s">
        <v>209</v>
      </c>
      <c r="AW90" s="169">
        <f>528.88*10</f>
        <v>5288.8</v>
      </c>
      <c r="AZ90" s="173"/>
      <c r="BD90" s="169">
        <f>5.09*1000</f>
        <v>5090</v>
      </c>
      <c r="BE90" s="169">
        <f>4.94*1000</f>
        <v>4940</v>
      </c>
      <c r="DO90" s="169">
        <f>(40+13+41+3+326)/5</f>
        <v>84.6</v>
      </c>
      <c r="DP90" s="169">
        <f>(9+4+40+2+127)/5</f>
        <v>36.4</v>
      </c>
      <c r="DQ90" s="169" t="s">
        <v>813</v>
      </c>
      <c r="DU90" s="169">
        <f>(0+0.77+1.87+3.67)/4</f>
        <v>1.5775000000000001</v>
      </c>
      <c r="DV90" s="169">
        <f>(0+3.17+4.6+6.17)/4</f>
        <v>3.4849999999999999</v>
      </c>
      <c r="DW90" s="170" t="s">
        <v>816</v>
      </c>
      <c r="DX90" s="170">
        <f>(3.83+1.45+0.51+0.06+1.54)/5</f>
        <v>1.478</v>
      </c>
      <c r="DY90" s="170">
        <f>(7.05+0.33+0.22+1.39+0.72)/5</f>
        <v>1.9420000000000002</v>
      </c>
      <c r="DZ90" s="170" t="s">
        <v>1884</v>
      </c>
      <c r="EA90" s="170"/>
      <c r="EB90" s="170"/>
      <c r="EC90" s="170"/>
      <c r="ED90" s="170"/>
      <c r="EE90" s="170"/>
      <c r="EF90" s="170"/>
      <c r="EG90" s="170"/>
      <c r="EH90" s="170"/>
      <c r="EI90" s="170"/>
      <c r="FR90" s="169" t="s">
        <v>1885</v>
      </c>
      <c r="FT90" s="169">
        <v>8</v>
      </c>
    </row>
    <row r="91" spans="1:176" s="169" customFormat="1" x14ac:dyDescent="0.25">
      <c r="A91" s="169">
        <v>8</v>
      </c>
      <c r="B91" s="169" t="s">
        <v>235</v>
      </c>
      <c r="C91" s="169" t="s">
        <v>236</v>
      </c>
      <c r="D91" s="169">
        <v>2016</v>
      </c>
      <c r="E91" s="169">
        <v>2011</v>
      </c>
      <c r="F91" s="169" t="s">
        <v>237</v>
      </c>
      <c r="G91" s="169" t="s">
        <v>238</v>
      </c>
      <c r="H91" s="169">
        <f>42+4/60</f>
        <v>42.06666666666667</v>
      </c>
      <c r="I91" s="169">
        <f>-86-21/60</f>
        <v>-86.35</v>
      </c>
      <c r="J91" s="169">
        <v>205</v>
      </c>
      <c r="P91" s="171">
        <v>2</v>
      </c>
      <c r="Q91" s="171"/>
      <c r="R91" s="171" t="s">
        <v>239</v>
      </c>
      <c r="S91" s="171" t="s">
        <v>1553</v>
      </c>
      <c r="T91" s="171" t="s">
        <v>1553</v>
      </c>
      <c r="U91" s="171" t="s">
        <v>1553</v>
      </c>
      <c r="V91" s="171" t="s">
        <v>1553</v>
      </c>
      <c r="Z91" s="169" t="s">
        <v>240</v>
      </c>
      <c r="AD91" s="169" t="s">
        <v>1474</v>
      </c>
      <c r="AE91" s="169" t="s">
        <v>159</v>
      </c>
      <c r="AF91" s="169" t="s">
        <v>159</v>
      </c>
      <c r="AG91" s="169" t="s">
        <v>1798</v>
      </c>
      <c r="AH91" s="169" t="s">
        <v>1796</v>
      </c>
      <c r="AI91" s="169" t="s">
        <v>244</v>
      </c>
      <c r="AJ91" s="169" t="s">
        <v>244</v>
      </c>
      <c r="AK91" s="169" t="s">
        <v>212</v>
      </c>
      <c r="AL91" s="169" t="s">
        <v>243</v>
      </c>
      <c r="AM91" s="169" t="s">
        <v>243</v>
      </c>
      <c r="AN91" s="169" t="s">
        <v>212</v>
      </c>
      <c r="AP91" s="169" t="s">
        <v>242</v>
      </c>
      <c r="AR91" s="169" t="s">
        <v>147</v>
      </c>
      <c r="AS91" s="173">
        <v>4</v>
      </c>
      <c r="AT91" s="173">
        <v>4</v>
      </c>
      <c r="AU91" s="173" t="s">
        <v>209</v>
      </c>
      <c r="AW91" s="169">
        <f>372.96*10</f>
        <v>3729.6</v>
      </c>
      <c r="AZ91" s="173"/>
      <c r="BD91" s="169">
        <f>5.31*1000</f>
        <v>5310</v>
      </c>
      <c r="BE91" s="169">
        <f>5.01*1000</f>
        <v>5010</v>
      </c>
      <c r="DO91" s="169">
        <f>(24+0+5+391+16)/5</f>
        <v>87.2</v>
      </c>
      <c r="DP91" s="169">
        <f>(2+0+15+260+4)/5</f>
        <v>56.2</v>
      </c>
      <c r="DQ91" s="169" t="s">
        <v>813</v>
      </c>
      <c r="DU91" s="169">
        <f>(8.74+0.7+2.32+7.31)/4</f>
        <v>4.7675000000000001</v>
      </c>
      <c r="DV91" s="169">
        <f>(8.36+0.59+2.43+6.66)/4</f>
        <v>4.51</v>
      </c>
      <c r="DW91" s="170" t="s">
        <v>816</v>
      </c>
      <c r="DX91" s="170">
        <f>(0.7+0.05+0.2+0.02+0.21)/5</f>
        <v>0.23599999999999999</v>
      </c>
      <c r="DY91" s="170">
        <f>(0.71+0.16+0.07+0.02+0.13)/5</f>
        <v>0.21799999999999997</v>
      </c>
      <c r="DZ91" s="170" t="s">
        <v>1884</v>
      </c>
      <c r="EA91" s="170"/>
      <c r="EB91" s="170"/>
      <c r="EC91" s="170"/>
      <c r="ED91" s="170"/>
      <c r="EE91" s="170"/>
      <c r="EF91" s="170"/>
      <c r="EG91" s="170"/>
      <c r="EH91" s="170"/>
      <c r="EI91" s="170"/>
      <c r="FR91" s="169" t="s">
        <v>1885</v>
      </c>
      <c r="FT91" s="169">
        <v>8</v>
      </c>
    </row>
    <row r="92" spans="1:176" s="26" customFormat="1" x14ac:dyDescent="0.25">
      <c r="A92" s="26">
        <v>9</v>
      </c>
      <c r="B92" s="26" t="s">
        <v>246</v>
      </c>
      <c r="C92" s="26" t="s">
        <v>247</v>
      </c>
      <c r="D92" s="26">
        <v>1992</v>
      </c>
      <c r="E92" s="26">
        <v>1985</v>
      </c>
      <c r="F92" s="26" t="s">
        <v>249</v>
      </c>
      <c r="G92" s="26" t="s">
        <v>248</v>
      </c>
      <c r="H92" s="26">
        <f t="shared" ref="H92:H97" si="5">33+54/60</f>
        <v>33.9</v>
      </c>
      <c r="I92" s="26">
        <f t="shared" ref="I92:I97" si="6">-82-24/60</f>
        <v>-82.4</v>
      </c>
      <c r="J92" s="26">
        <v>130.1</v>
      </c>
      <c r="P92" s="52">
        <v>3</v>
      </c>
      <c r="Q92" s="52"/>
      <c r="R92" s="52" t="s">
        <v>250</v>
      </c>
      <c r="S92" s="52" t="s">
        <v>1563</v>
      </c>
      <c r="T92" s="52" t="s">
        <v>1563</v>
      </c>
      <c r="U92" s="52" t="s">
        <v>1563</v>
      </c>
      <c r="V92" s="52" t="s">
        <v>1906</v>
      </c>
      <c r="X92" s="26">
        <f>54.1/(54.1+14.6+5.8)*100</f>
        <v>72.617449664429529</v>
      </c>
      <c r="Y92" s="26">
        <f>14.6/(54.1+14.6+5.8)*100</f>
        <v>19.597315436241612</v>
      </c>
      <c r="Z92" s="26" t="s">
        <v>894</v>
      </c>
      <c r="AD92" s="26" t="s">
        <v>1475</v>
      </c>
      <c r="AE92" s="26" t="s">
        <v>1701</v>
      </c>
      <c r="AF92" s="152" t="s">
        <v>666</v>
      </c>
      <c r="AG92" s="26" t="s">
        <v>190</v>
      </c>
      <c r="AH92" s="154" t="s">
        <v>190</v>
      </c>
      <c r="AL92" s="26" t="s">
        <v>257</v>
      </c>
      <c r="AM92" s="26" t="s">
        <v>256</v>
      </c>
      <c r="AN92" s="26" t="s">
        <v>587</v>
      </c>
      <c r="AR92" s="26" t="s">
        <v>147</v>
      </c>
      <c r="AS92" s="26">
        <v>3</v>
      </c>
      <c r="AT92" s="26">
        <v>3</v>
      </c>
      <c r="AY92" s="63"/>
      <c r="AZ92" s="26" t="s">
        <v>251</v>
      </c>
      <c r="CH92" s="26">
        <f>0.61*1000</f>
        <v>610</v>
      </c>
      <c r="CI92" s="26">
        <f>0.87*1000</f>
        <v>870</v>
      </c>
      <c r="CJ92" s="26" t="s">
        <v>197</v>
      </c>
      <c r="CQ92" s="26">
        <f>(26.7+29.5)/2</f>
        <v>28.1</v>
      </c>
      <c r="CR92" s="26">
        <f>(51.3+50.7)/2</f>
        <v>51</v>
      </c>
      <c r="CS92" s="26" t="s">
        <v>1865</v>
      </c>
      <c r="EJ92" s="12"/>
      <c r="EL92" s="15"/>
      <c r="FT92" s="26">
        <v>9</v>
      </c>
    </row>
    <row r="93" spans="1:176" s="26" customFormat="1" x14ac:dyDescent="0.25">
      <c r="A93" s="26">
        <v>9</v>
      </c>
      <c r="B93" s="26" t="s">
        <v>246</v>
      </c>
      <c r="C93" s="26" t="s">
        <v>247</v>
      </c>
      <c r="D93" s="26">
        <v>1992</v>
      </c>
      <c r="E93" s="26">
        <v>1985</v>
      </c>
      <c r="F93" s="26" t="s">
        <v>249</v>
      </c>
      <c r="G93" s="26" t="s">
        <v>248</v>
      </c>
      <c r="H93" s="26">
        <f t="shared" si="5"/>
        <v>33.9</v>
      </c>
      <c r="I93" s="26">
        <f t="shared" si="6"/>
        <v>-82.4</v>
      </c>
      <c r="J93" s="26">
        <v>130.1</v>
      </c>
      <c r="P93" s="52">
        <v>3</v>
      </c>
      <c r="Q93" s="52"/>
      <c r="R93" s="52" t="s">
        <v>250</v>
      </c>
      <c r="S93" s="52" t="s">
        <v>1563</v>
      </c>
      <c r="T93" s="52" t="s">
        <v>1563</v>
      </c>
      <c r="U93" s="52" t="s">
        <v>1563</v>
      </c>
      <c r="V93" s="52" t="s">
        <v>1906</v>
      </c>
      <c r="X93" s="26">
        <f>47/(47+20.4+10.7)*100</f>
        <v>60.179257362355941</v>
      </c>
      <c r="Y93" s="26">
        <f>20.4/(47+20.4+10.7)*100</f>
        <v>26.120358514724707</v>
      </c>
      <c r="Z93" s="26" t="s">
        <v>894</v>
      </c>
      <c r="AD93" s="26" t="s">
        <v>1475</v>
      </c>
      <c r="AE93" s="26" t="s">
        <v>1701</v>
      </c>
      <c r="AF93" s="152" t="s">
        <v>666</v>
      </c>
      <c r="AG93" s="26" t="s">
        <v>190</v>
      </c>
      <c r="AH93" s="154" t="s">
        <v>190</v>
      </c>
      <c r="AL93" s="26" t="s">
        <v>257</v>
      </c>
      <c r="AM93" s="26" t="s">
        <v>256</v>
      </c>
      <c r="AN93" s="26" t="s">
        <v>587</v>
      </c>
      <c r="AR93" s="26" t="s">
        <v>147</v>
      </c>
      <c r="AS93" s="26">
        <v>3</v>
      </c>
      <c r="AT93" s="26">
        <v>3</v>
      </c>
      <c r="AY93" s="63"/>
      <c r="AZ93" s="26" t="s">
        <v>252</v>
      </c>
      <c r="CH93" s="26">
        <f>0.59*1000</f>
        <v>590</v>
      </c>
      <c r="CI93" s="26">
        <f>0.88*1000</f>
        <v>880</v>
      </c>
      <c r="CJ93" s="26" t="s">
        <v>197</v>
      </c>
      <c r="CQ93" s="26">
        <f>(32.9+20.5)/2</f>
        <v>26.7</v>
      </c>
      <c r="CR93" s="26">
        <f>(51.8+46.4)/2</f>
        <v>49.099999999999994</v>
      </c>
      <c r="CS93" s="26" t="s">
        <v>1865</v>
      </c>
      <c r="EJ93" s="12"/>
      <c r="EL93" s="15"/>
      <c r="FT93" s="26">
        <v>9</v>
      </c>
    </row>
    <row r="94" spans="1:176" s="26" customFormat="1" x14ac:dyDescent="0.25">
      <c r="A94" s="26">
        <v>9</v>
      </c>
      <c r="B94" s="26" t="s">
        <v>246</v>
      </c>
      <c r="C94" s="26" t="s">
        <v>247</v>
      </c>
      <c r="D94" s="26">
        <v>1992</v>
      </c>
      <c r="E94" s="26">
        <v>1985</v>
      </c>
      <c r="F94" s="26" t="s">
        <v>249</v>
      </c>
      <c r="G94" s="26" t="s">
        <v>248</v>
      </c>
      <c r="H94" s="26">
        <f t="shared" si="5"/>
        <v>33.9</v>
      </c>
      <c r="I94" s="26">
        <f t="shared" si="6"/>
        <v>-82.4</v>
      </c>
      <c r="J94" s="26">
        <v>130.1</v>
      </c>
      <c r="P94" s="52">
        <v>3</v>
      </c>
      <c r="Q94" s="52"/>
      <c r="R94" s="52" t="s">
        <v>250</v>
      </c>
      <c r="S94" s="52" t="s">
        <v>1563</v>
      </c>
      <c r="T94" s="52" t="s">
        <v>1563</v>
      </c>
      <c r="U94" s="52" t="s">
        <v>1563</v>
      </c>
      <c r="V94" s="52" t="s">
        <v>1906</v>
      </c>
      <c r="X94" s="26">
        <f>42.5/(42.5+21.3+19)*100</f>
        <v>51.328502415458942</v>
      </c>
      <c r="Y94" s="26">
        <f>21.3/(42.5+21.3+19)*100</f>
        <v>25.724637681159422</v>
      </c>
      <c r="Z94" s="26" t="s">
        <v>894</v>
      </c>
      <c r="AD94" s="26" t="s">
        <v>1475</v>
      </c>
      <c r="AE94" s="26" t="s">
        <v>1701</v>
      </c>
      <c r="AF94" s="152" t="s">
        <v>666</v>
      </c>
      <c r="AG94" s="26" t="s">
        <v>190</v>
      </c>
      <c r="AH94" s="154" t="s">
        <v>190</v>
      </c>
      <c r="AL94" s="26" t="s">
        <v>257</v>
      </c>
      <c r="AM94" s="26" t="s">
        <v>256</v>
      </c>
      <c r="AN94" s="26" t="s">
        <v>587</v>
      </c>
      <c r="AR94" s="26" t="s">
        <v>147</v>
      </c>
      <c r="AS94" s="26">
        <v>3</v>
      </c>
      <c r="AT94" s="26">
        <v>3</v>
      </c>
      <c r="AY94" s="63"/>
      <c r="AZ94" s="26" t="s">
        <v>253</v>
      </c>
      <c r="CH94" s="26">
        <f>0.65*1000</f>
        <v>650</v>
      </c>
      <c r="CI94" s="26">
        <f>0.91*1000</f>
        <v>910</v>
      </c>
      <c r="CJ94" s="26" t="s">
        <v>197</v>
      </c>
      <c r="CQ94" s="26">
        <f>(35.9+20.2)/2</f>
        <v>28.049999999999997</v>
      </c>
      <c r="CR94" s="26">
        <f>(46+41.6)/2</f>
        <v>43.8</v>
      </c>
      <c r="CS94" s="26" t="s">
        <v>1865</v>
      </c>
      <c r="EJ94" s="12"/>
      <c r="EL94" s="15"/>
      <c r="FT94" s="26">
        <v>9</v>
      </c>
    </row>
    <row r="95" spans="1:176" s="26" customFormat="1" x14ac:dyDescent="0.25">
      <c r="A95" s="26">
        <v>9</v>
      </c>
      <c r="B95" s="26" t="s">
        <v>246</v>
      </c>
      <c r="C95" s="26" t="s">
        <v>247</v>
      </c>
      <c r="D95" s="26">
        <v>1992</v>
      </c>
      <c r="E95" s="26">
        <v>1985</v>
      </c>
      <c r="F95" s="26" t="s">
        <v>249</v>
      </c>
      <c r="G95" s="26" t="s">
        <v>248</v>
      </c>
      <c r="H95" s="26">
        <f t="shared" si="5"/>
        <v>33.9</v>
      </c>
      <c r="I95" s="26">
        <f t="shared" si="6"/>
        <v>-82.4</v>
      </c>
      <c r="J95" s="26">
        <v>130.1</v>
      </c>
      <c r="P95" s="52">
        <v>3</v>
      </c>
      <c r="Q95" s="52"/>
      <c r="R95" s="52" t="s">
        <v>250</v>
      </c>
      <c r="S95" s="52" t="s">
        <v>1563</v>
      </c>
      <c r="T95" s="52" t="s">
        <v>1563</v>
      </c>
      <c r="U95" s="52" t="s">
        <v>1563</v>
      </c>
      <c r="V95" s="52" t="s">
        <v>1906</v>
      </c>
      <c r="X95" s="26">
        <f>54.1/(54.1+14.6+5.8)*100</f>
        <v>72.617449664429529</v>
      </c>
      <c r="Y95" s="26">
        <f>14.6/(54.1+14.6+5.8)*100</f>
        <v>19.597315436241612</v>
      </c>
      <c r="Z95" s="26" t="s">
        <v>894</v>
      </c>
      <c r="AD95" s="26" t="s">
        <v>1475</v>
      </c>
      <c r="AE95" s="26" t="s">
        <v>1701</v>
      </c>
      <c r="AF95" s="152" t="s">
        <v>666</v>
      </c>
      <c r="AG95" s="26" t="s">
        <v>258</v>
      </c>
      <c r="AH95" s="154" t="s">
        <v>258</v>
      </c>
      <c r="AL95" s="26" t="s">
        <v>257</v>
      </c>
      <c r="AM95" s="26" t="s">
        <v>256</v>
      </c>
      <c r="AN95" s="26" t="s">
        <v>587</v>
      </c>
      <c r="AR95" s="26" t="s">
        <v>147</v>
      </c>
      <c r="AS95" s="26">
        <v>3</v>
      </c>
      <c r="AT95" s="26">
        <v>3</v>
      </c>
      <c r="AY95" s="63"/>
      <c r="AZ95" s="26" t="s">
        <v>251</v>
      </c>
      <c r="CH95" s="26">
        <f>0.5*1000</f>
        <v>500</v>
      </c>
      <c r="CI95" s="26">
        <f>0.87*1000</f>
        <v>870</v>
      </c>
      <c r="CJ95" s="26" t="s">
        <v>197</v>
      </c>
      <c r="CQ95" s="26">
        <f>(33+25.7)/2</f>
        <v>29.35</v>
      </c>
      <c r="CR95" s="26">
        <f>(51.3+50.7)/2</f>
        <v>51</v>
      </c>
      <c r="CS95" s="26" t="s">
        <v>1865</v>
      </c>
      <c r="EJ95" s="12"/>
      <c r="EL95" s="15"/>
      <c r="FT95" s="26">
        <v>9</v>
      </c>
    </row>
    <row r="96" spans="1:176" s="26" customFormat="1" x14ac:dyDescent="0.25">
      <c r="A96" s="26">
        <v>9</v>
      </c>
      <c r="B96" s="26" t="s">
        <v>246</v>
      </c>
      <c r="C96" s="26" t="s">
        <v>247</v>
      </c>
      <c r="D96" s="26">
        <v>1992</v>
      </c>
      <c r="E96" s="26">
        <v>1985</v>
      </c>
      <c r="F96" s="26" t="s">
        <v>249</v>
      </c>
      <c r="G96" s="26" t="s">
        <v>248</v>
      </c>
      <c r="H96" s="26">
        <f t="shared" si="5"/>
        <v>33.9</v>
      </c>
      <c r="I96" s="26">
        <f t="shared" si="6"/>
        <v>-82.4</v>
      </c>
      <c r="J96" s="26">
        <v>130.1</v>
      </c>
      <c r="P96" s="52">
        <v>3</v>
      </c>
      <c r="Q96" s="52"/>
      <c r="R96" s="52" t="s">
        <v>250</v>
      </c>
      <c r="S96" s="52" t="s">
        <v>1563</v>
      </c>
      <c r="T96" s="52" t="s">
        <v>1563</v>
      </c>
      <c r="U96" s="52" t="s">
        <v>1563</v>
      </c>
      <c r="V96" s="52" t="s">
        <v>1906</v>
      </c>
      <c r="X96" s="26">
        <f>47/(47+20.4+10.7)*100</f>
        <v>60.179257362355941</v>
      </c>
      <c r="Y96" s="26">
        <f>20.4/(47+20.4+10.7)*100</f>
        <v>26.120358514724707</v>
      </c>
      <c r="Z96" s="26" t="s">
        <v>894</v>
      </c>
      <c r="AD96" s="26" t="s">
        <v>1475</v>
      </c>
      <c r="AE96" s="26" t="s">
        <v>1701</v>
      </c>
      <c r="AF96" s="152" t="s">
        <v>666</v>
      </c>
      <c r="AG96" s="26" t="s">
        <v>258</v>
      </c>
      <c r="AH96" s="154" t="s">
        <v>258</v>
      </c>
      <c r="AL96" s="26" t="s">
        <v>257</v>
      </c>
      <c r="AM96" s="26" t="s">
        <v>256</v>
      </c>
      <c r="AN96" s="26" t="s">
        <v>587</v>
      </c>
      <c r="AR96" s="26" t="s">
        <v>147</v>
      </c>
      <c r="AS96" s="26">
        <v>3</v>
      </c>
      <c r="AT96" s="26">
        <v>3</v>
      </c>
      <c r="AY96" s="63"/>
      <c r="AZ96" s="26" t="s">
        <v>252</v>
      </c>
      <c r="CH96" s="26">
        <f>0.59*1000</f>
        <v>590</v>
      </c>
      <c r="CI96" s="26">
        <f>0.88*1000</f>
        <v>880</v>
      </c>
      <c r="CJ96" s="26" t="s">
        <v>197</v>
      </c>
      <c r="CQ96" s="26">
        <f>(38.6+20.1)/2</f>
        <v>29.35</v>
      </c>
      <c r="CR96" s="26">
        <f>(51.8+46.4)/2</f>
        <v>49.099999999999994</v>
      </c>
      <c r="CS96" s="26" t="s">
        <v>1865</v>
      </c>
      <c r="EJ96" s="12"/>
      <c r="EL96" s="15"/>
      <c r="FT96" s="26">
        <v>9</v>
      </c>
    </row>
    <row r="97" spans="1:176" s="26" customFormat="1" x14ac:dyDescent="0.25">
      <c r="A97" s="26">
        <v>9</v>
      </c>
      <c r="B97" s="26" t="s">
        <v>246</v>
      </c>
      <c r="C97" s="26" t="s">
        <v>247</v>
      </c>
      <c r="D97" s="26">
        <v>1992</v>
      </c>
      <c r="E97" s="26">
        <v>1985</v>
      </c>
      <c r="F97" s="26" t="s">
        <v>249</v>
      </c>
      <c r="G97" s="26" t="s">
        <v>248</v>
      </c>
      <c r="H97" s="26">
        <f t="shared" si="5"/>
        <v>33.9</v>
      </c>
      <c r="I97" s="26">
        <f t="shared" si="6"/>
        <v>-82.4</v>
      </c>
      <c r="J97" s="26">
        <v>130.1</v>
      </c>
      <c r="P97" s="52">
        <v>3</v>
      </c>
      <c r="Q97" s="52"/>
      <c r="R97" s="52" t="s">
        <v>250</v>
      </c>
      <c r="S97" s="52" t="s">
        <v>1563</v>
      </c>
      <c r="T97" s="52" t="s">
        <v>1563</v>
      </c>
      <c r="U97" s="52" t="s">
        <v>1563</v>
      </c>
      <c r="V97" s="52" t="s">
        <v>1906</v>
      </c>
      <c r="X97" s="26">
        <f>42.5/(42.5+21.3+19)*100</f>
        <v>51.328502415458942</v>
      </c>
      <c r="Y97" s="26">
        <f>21.3/(42.5+21.3+19)*100</f>
        <v>25.724637681159422</v>
      </c>
      <c r="Z97" s="26" t="s">
        <v>894</v>
      </c>
      <c r="AD97" s="26" t="s">
        <v>1475</v>
      </c>
      <c r="AE97" s="26" t="s">
        <v>1701</v>
      </c>
      <c r="AF97" s="152" t="s">
        <v>666</v>
      </c>
      <c r="AG97" s="26" t="s">
        <v>258</v>
      </c>
      <c r="AH97" s="154" t="s">
        <v>258</v>
      </c>
      <c r="AL97" s="26" t="s">
        <v>257</v>
      </c>
      <c r="AM97" s="26" t="s">
        <v>256</v>
      </c>
      <c r="AN97" s="26" t="s">
        <v>587</v>
      </c>
      <c r="AR97" s="26" t="s">
        <v>147</v>
      </c>
      <c r="AS97" s="26">
        <v>3</v>
      </c>
      <c r="AT97" s="26">
        <v>3</v>
      </c>
      <c r="AY97" s="63"/>
      <c r="AZ97" s="26" t="s">
        <v>253</v>
      </c>
      <c r="CH97" s="26">
        <f>0.64*1000</f>
        <v>640</v>
      </c>
      <c r="CI97" s="26">
        <f>0.91*1000</f>
        <v>910</v>
      </c>
      <c r="CJ97" s="26" t="s">
        <v>197</v>
      </c>
      <c r="CQ97" s="26">
        <f>(34.5+21)/2</f>
        <v>27.75</v>
      </c>
      <c r="CR97" s="26">
        <f>(46+41.6)/2</f>
        <v>43.8</v>
      </c>
      <c r="CS97" s="26" t="s">
        <v>1865</v>
      </c>
      <c r="EJ97" s="12"/>
      <c r="EL97" s="15"/>
      <c r="FT97" s="26">
        <v>9</v>
      </c>
    </row>
    <row r="98" spans="1:176" s="23" customFormat="1" x14ac:dyDescent="0.25">
      <c r="A98" s="23">
        <v>10</v>
      </c>
      <c r="B98" s="27" t="s">
        <v>259</v>
      </c>
      <c r="C98" s="23" t="s">
        <v>260</v>
      </c>
      <c r="D98" s="23">
        <v>2015</v>
      </c>
      <c r="E98" s="23">
        <v>2010</v>
      </c>
      <c r="F98" s="23" t="s">
        <v>261</v>
      </c>
      <c r="G98" s="23" t="s">
        <v>262</v>
      </c>
      <c r="H98" s="23">
        <v>43.064999999999998</v>
      </c>
      <c r="I98" s="23">
        <v>-89.534999999999997</v>
      </c>
      <c r="J98" s="23">
        <v>331.7</v>
      </c>
      <c r="P98" s="53">
        <v>1</v>
      </c>
      <c r="Q98" s="53"/>
      <c r="R98" s="53" t="s">
        <v>264</v>
      </c>
      <c r="S98" s="53" t="s">
        <v>1558</v>
      </c>
      <c r="T98" s="53" t="s">
        <v>1558</v>
      </c>
      <c r="U98" s="53" t="s">
        <v>1558</v>
      </c>
      <c r="V98" s="53" t="s">
        <v>1905</v>
      </c>
      <c r="Z98" s="23" t="s">
        <v>531</v>
      </c>
      <c r="AA98" s="23">
        <v>7.1</v>
      </c>
      <c r="AB98" s="23">
        <v>2.9</v>
      </c>
      <c r="AD98" s="23" t="s">
        <v>1476</v>
      </c>
      <c r="AE98" s="23" t="s">
        <v>268</v>
      </c>
      <c r="AF98" s="152" t="s">
        <v>1761</v>
      </c>
      <c r="AG98" s="23" t="s">
        <v>267</v>
      </c>
      <c r="AH98" s="155" t="s">
        <v>1797</v>
      </c>
      <c r="AL98" s="23" t="s">
        <v>269</v>
      </c>
      <c r="AM98" s="23" t="s">
        <v>269</v>
      </c>
      <c r="AN98" s="23" t="s">
        <v>212</v>
      </c>
      <c r="AR98" s="23" t="s">
        <v>147</v>
      </c>
      <c r="AS98" s="23">
        <v>4</v>
      </c>
      <c r="AT98" s="23">
        <v>4</v>
      </c>
      <c r="AY98" s="64"/>
      <c r="BD98" s="23">
        <f>(40+24.2)/2*1000</f>
        <v>32100</v>
      </c>
      <c r="BE98" s="23">
        <f>(31.5+25.7)/2*1000</f>
        <v>28600</v>
      </c>
      <c r="BF98" s="23" t="s">
        <v>273</v>
      </c>
      <c r="BM98" s="23">
        <v>11.22</v>
      </c>
      <c r="BN98" s="23">
        <v>8.83</v>
      </c>
      <c r="BO98" s="23" t="s">
        <v>389</v>
      </c>
      <c r="DO98" s="23">
        <v>2320</v>
      </c>
      <c r="DP98" s="23">
        <v>630</v>
      </c>
      <c r="EJ98" s="12"/>
      <c r="EL98" s="15"/>
      <c r="FT98" s="23">
        <v>10</v>
      </c>
    </row>
    <row r="99" spans="1:176" s="23" customFormat="1" x14ac:dyDescent="0.25">
      <c r="A99" s="23">
        <v>10</v>
      </c>
      <c r="B99" s="27" t="s">
        <v>259</v>
      </c>
      <c r="C99" s="23" t="s">
        <v>260</v>
      </c>
      <c r="D99" s="23">
        <v>2015</v>
      </c>
      <c r="E99" s="23">
        <v>2011</v>
      </c>
      <c r="F99" s="23" t="s">
        <v>261</v>
      </c>
      <c r="G99" s="23" t="s">
        <v>262</v>
      </c>
      <c r="H99" s="23">
        <v>43.064999999999998</v>
      </c>
      <c r="I99" s="23">
        <v>-89.534999999999997</v>
      </c>
      <c r="J99" s="23">
        <v>331.7</v>
      </c>
      <c r="P99" s="53">
        <v>2</v>
      </c>
      <c r="Q99" s="53"/>
      <c r="R99" s="53" t="s">
        <v>265</v>
      </c>
      <c r="S99" s="53" t="s">
        <v>1558</v>
      </c>
      <c r="T99" s="53" t="s">
        <v>1558</v>
      </c>
      <c r="U99" s="53" t="s">
        <v>1558</v>
      </c>
      <c r="V99" s="53" t="s">
        <v>1905</v>
      </c>
      <c r="Z99" s="23" t="s">
        <v>531</v>
      </c>
      <c r="AA99" s="23">
        <v>7.1</v>
      </c>
      <c r="AB99" s="23">
        <v>2.9</v>
      </c>
      <c r="AD99" s="23" t="s">
        <v>1476</v>
      </c>
      <c r="AE99" s="23" t="s">
        <v>268</v>
      </c>
      <c r="AF99" s="152" t="s">
        <v>1761</v>
      </c>
      <c r="AG99" s="23" t="s">
        <v>267</v>
      </c>
      <c r="AH99" s="155" t="s">
        <v>1797</v>
      </c>
      <c r="AL99" s="23" t="s">
        <v>269</v>
      </c>
      <c r="AM99" s="23" t="s">
        <v>269</v>
      </c>
      <c r="AN99" s="23" t="s">
        <v>212</v>
      </c>
      <c r="AR99" s="23" t="s">
        <v>147</v>
      </c>
      <c r="AS99" s="23">
        <v>4</v>
      </c>
      <c r="AT99" s="23">
        <v>4</v>
      </c>
      <c r="AY99" s="64"/>
      <c r="BM99" s="23">
        <v>17.41</v>
      </c>
      <c r="BN99" s="23">
        <v>15.03</v>
      </c>
      <c r="BO99" s="23" t="s">
        <v>389</v>
      </c>
      <c r="DO99" s="23">
        <v>1130</v>
      </c>
      <c r="DP99" s="23">
        <v>230</v>
      </c>
      <c r="EJ99" s="12"/>
      <c r="EL99" s="15"/>
      <c r="FT99" s="23">
        <v>10</v>
      </c>
    </row>
    <row r="100" spans="1:176" s="23" customFormat="1" x14ac:dyDescent="0.25">
      <c r="A100" s="23">
        <v>10</v>
      </c>
      <c r="B100" s="27" t="s">
        <v>259</v>
      </c>
      <c r="C100" s="23" t="s">
        <v>260</v>
      </c>
      <c r="D100" s="23">
        <v>2015</v>
      </c>
      <c r="E100" s="23">
        <v>2011</v>
      </c>
      <c r="F100" s="23" t="s">
        <v>261</v>
      </c>
      <c r="G100" s="23" t="s">
        <v>263</v>
      </c>
      <c r="H100" s="23">
        <v>43.314</v>
      </c>
      <c r="I100" s="23">
        <v>-89.335999999999999</v>
      </c>
      <c r="J100" s="23">
        <v>326.5</v>
      </c>
      <c r="P100" s="53">
        <v>2</v>
      </c>
      <c r="Q100" s="53"/>
      <c r="R100" s="53" t="s">
        <v>266</v>
      </c>
      <c r="S100" s="53" t="s">
        <v>1558</v>
      </c>
      <c r="T100" s="53" t="s">
        <v>1558</v>
      </c>
      <c r="U100" s="53" t="s">
        <v>1558</v>
      </c>
      <c r="V100" s="53" t="s">
        <v>1905</v>
      </c>
      <c r="Z100" s="23" t="s">
        <v>531</v>
      </c>
      <c r="AA100" s="23">
        <v>7.3</v>
      </c>
      <c r="AB100" s="23">
        <v>4</v>
      </c>
      <c r="AD100" s="23" t="s">
        <v>1476</v>
      </c>
      <c r="AE100" s="23" t="s">
        <v>268</v>
      </c>
      <c r="AF100" s="152" t="s">
        <v>1761</v>
      </c>
      <c r="AG100" s="23" t="s">
        <v>267</v>
      </c>
      <c r="AH100" s="155" t="s">
        <v>1797</v>
      </c>
      <c r="AL100" s="23" t="s">
        <v>269</v>
      </c>
      <c r="AM100" s="23" t="s">
        <v>269</v>
      </c>
      <c r="AN100" s="23" t="s">
        <v>212</v>
      </c>
      <c r="AR100" s="23" t="s">
        <v>147</v>
      </c>
      <c r="AS100" s="23">
        <v>4</v>
      </c>
      <c r="AT100" s="23">
        <v>4</v>
      </c>
      <c r="AY100" s="64"/>
      <c r="BM100" s="23">
        <v>27.1</v>
      </c>
      <c r="BN100" s="23">
        <v>18.3</v>
      </c>
      <c r="BO100" s="23" t="s">
        <v>389</v>
      </c>
      <c r="DO100" s="23">
        <v>610</v>
      </c>
      <c r="DP100" s="23">
        <v>60</v>
      </c>
      <c r="EJ100" s="12"/>
      <c r="EL100" s="15"/>
      <c r="FT100" s="23">
        <v>10</v>
      </c>
    </row>
    <row r="101" spans="1:176" s="23" customFormat="1" x14ac:dyDescent="0.25">
      <c r="A101" s="23">
        <v>10</v>
      </c>
      <c r="B101" s="27" t="s">
        <v>259</v>
      </c>
      <c r="C101" s="23" t="s">
        <v>260</v>
      </c>
      <c r="D101" s="23">
        <v>2015</v>
      </c>
      <c r="E101" s="23">
        <v>2010</v>
      </c>
      <c r="F101" s="23" t="s">
        <v>261</v>
      </c>
      <c r="G101" s="23" t="s">
        <v>262</v>
      </c>
      <c r="H101" s="23">
        <v>43.064999999999998</v>
      </c>
      <c r="I101" s="23">
        <v>-89.534999999999997</v>
      </c>
      <c r="J101" s="23">
        <v>331.7</v>
      </c>
      <c r="P101" s="53">
        <v>1</v>
      </c>
      <c r="Q101" s="53"/>
      <c r="R101" s="53" t="s">
        <v>264</v>
      </c>
      <c r="S101" s="53" t="s">
        <v>1558</v>
      </c>
      <c r="T101" s="53" t="s">
        <v>1558</v>
      </c>
      <c r="U101" s="53" t="s">
        <v>1558</v>
      </c>
      <c r="V101" s="53" t="s">
        <v>1905</v>
      </c>
      <c r="Z101" s="23" t="s">
        <v>531</v>
      </c>
      <c r="AA101" s="23">
        <v>7.1</v>
      </c>
      <c r="AB101" s="23">
        <v>2.9</v>
      </c>
      <c r="AD101" s="23" t="s">
        <v>1476</v>
      </c>
      <c r="AE101" s="23" t="s">
        <v>1702</v>
      </c>
      <c r="AF101" s="152" t="s">
        <v>1761</v>
      </c>
      <c r="AG101" s="23" t="s">
        <v>267</v>
      </c>
      <c r="AH101" s="155" t="s">
        <v>1797</v>
      </c>
      <c r="AL101" s="23" t="s">
        <v>269</v>
      </c>
      <c r="AM101" s="23" t="s">
        <v>269</v>
      </c>
      <c r="AN101" s="23" t="s">
        <v>212</v>
      </c>
      <c r="AR101" s="23" t="s">
        <v>147</v>
      </c>
      <c r="AS101" s="23">
        <v>4</v>
      </c>
      <c r="AT101" s="23">
        <v>4</v>
      </c>
      <c r="AY101" s="64"/>
      <c r="BD101" s="23">
        <f t="shared" ref="BD101:BD107" si="7">(40+24.2)/2*1000</f>
        <v>32100</v>
      </c>
      <c r="BE101" s="23">
        <f>(42.1+29.8)/2*1000</f>
        <v>35950</v>
      </c>
      <c r="BF101" s="23" t="s">
        <v>273</v>
      </c>
      <c r="BM101" s="23">
        <v>11.22</v>
      </c>
      <c r="BN101" s="23">
        <v>9.34</v>
      </c>
      <c r="BO101" s="23" t="s">
        <v>389</v>
      </c>
      <c r="DO101" s="23">
        <v>2320</v>
      </c>
      <c r="DP101" s="23">
        <v>2040</v>
      </c>
      <c r="EJ101" s="12"/>
      <c r="EL101" s="15"/>
      <c r="FT101" s="23">
        <v>10</v>
      </c>
    </row>
    <row r="102" spans="1:176" s="23" customFormat="1" x14ac:dyDescent="0.25">
      <c r="A102" s="23">
        <v>10</v>
      </c>
      <c r="B102" s="27" t="s">
        <v>259</v>
      </c>
      <c r="C102" s="23" t="s">
        <v>260</v>
      </c>
      <c r="D102" s="23">
        <v>2015</v>
      </c>
      <c r="E102" s="23">
        <v>2011</v>
      </c>
      <c r="F102" s="23" t="s">
        <v>261</v>
      </c>
      <c r="G102" s="23" t="s">
        <v>262</v>
      </c>
      <c r="H102" s="23">
        <v>43.064999999999998</v>
      </c>
      <c r="I102" s="23">
        <v>-89.534999999999997</v>
      </c>
      <c r="J102" s="23">
        <v>331.7</v>
      </c>
      <c r="P102" s="53">
        <v>2</v>
      </c>
      <c r="Q102" s="53"/>
      <c r="R102" s="53" t="s">
        <v>265</v>
      </c>
      <c r="S102" s="53" t="s">
        <v>1558</v>
      </c>
      <c r="T102" s="53" t="s">
        <v>1558</v>
      </c>
      <c r="U102" s="53" t="s">
        <v>1558</v>
      </c>
      <c r="V102" s="53" t="s">
        <v>1905</v>
      </c>
      <c r="Z102" s="23" t="s">
        <v>531</v>
      </c>
      <c r="AA102" s="23">
        <v>7.1</v>
      </c>
      <c r="AB102" s="23">
        <v>2.9</v>
      </c>
      <c r="AD102" s="23" t="s">
        <v>1476</v>
      </c>
      <c r="AE102" s="23" t="s">
        <v>1702</v>
      </c>
      <c r="AF102" s="152" t="s">
        <v>1761</v>
      </c>
      <c r="AG102" s="23" t="s">
        <v>267</v>
      </c>
      <c r="AH102" s="155" t="s">
        <v>1797</v>
      </c>
      <c r="AL102" s="23" t="s">
        <v>269</v>
      </c>
      <c r="AM102" s="23" t="s">
        <v>269</v>
      </c>
      <c r="AN102" s="23" t="s">
        <v>212</v>
      </c>
      <c r="AR102" s="23" t="s">
        <v>147</v>
      </c>
      <c r="AS102" s="23">
        <v>4</v>
      </c>
      <c r="AT102" s="23">
        <v>4</v>
      </c>
      <c r="AY102" s="64"/>
      <c r="BM102" s="23">
        <v>17.41</v>
      </c>
      <c r="BN102" s="23">
        <v>15.54</v>
      </c>
      <c r="BO102" s="23" t="s">
        <v>389</v>
      </c>
      <c r="DO102" s="23">
        <v>1130</v>
      </c>
      <c r="DP102" s="23">
        <v>270</v>
      </c>
      <c r="EJ102" s="12"/>
      <c r="EL102" s="15"/>
      <c r="FT102" s="23">
        <v>10</v>
      </c>
    </row>
    <row r="103" spans="1:176" s="23" customFormat="1" x14ac:dyDescent="0.25">
      <c r="A103" s="23">
        <v>10</v>
      </c>
      <c r="B103" s="27" t="s">
        <v>259</v>
      </c>
      <c r="C103" s="23" t="s">
        <v>260</v>
      </c>
      <c r="D103" s="23">
        <v>2015</v>
      </c>
      <c r="E103" s="23">
        <v>2011</v>
      </c>
      <c r="F103" s="23" t="s">
        <v>261</v>
      </c>
      <c r="G103" s="23" t="s">
        <v>263</v>
      </c>
      <c r="H103" s="23">
        <v>43.314</v>
      </c>
      <c r="I103" s="23">
        <v>-89.335999999999999</v>
      </c>
      <c r="J103" s="23">
        <v>326.5</v>
      </c>
      <c r="P103" s="53">
        <v>2</v>
      </c>
      <c r="Q103" s="53"/>
      <c r="R103" s="53" t="s">
        <v>266</v>
      </c>
      <c r="S103" s="53" t="s">
        <v>1558</v>
      </c>
      <c r="T103" s="53" t="s">
        <v>1558</v>
      </c>
      <c r="U103" s="53" t="s">
        <v>1558</v>
      </c>
      <c r="V103" s="53" t="s">
        <v>1905</v>
      </c>
      <c r="Z103" s="23" t="s">
        <v>531</v>
      </c>
      <c r="AA103" s="23">
        <v>7.3</v>
      </c>
      <c r="AB103" s="23">
        <v>4</v>
      </c>
      <c r="AD103" s="23" t="s">
        <v>1476</v>
      </c>
      <c r="AE103" s="23" t="s">
        <v>1702</v>
      </c>
      <c r="AF103" s="152" t="s">
        <v>1761</v>
      </c>
      <c r="AG103" s="23" t="s">
        <v>267</v>
      </c>
      <c r="AH103" s="155" t="s">
        <v>1797</v>
      </c>
      <c r="AL103" s="23" t="s">
        <v>269</v>
      </c>
      <c r="AM103" s="23" t="s">
        <v>269</v>
      </c>
      <c r="AN103" s="23" t="s">
        <v>212</v>
      </c>
      <c r="AR103" s="23" t="s">
        <v>147</v>
      </c>
      <c r="AS103" s="23">
        <v>4</v>
      </c>
      <c r="AT103" s="23">
        <v>4</v>
      </c>
      <c r="AY103" s="64"/>
      <c r="BM103" s="23">
        <v>27.1</v>
      </c>
      <c r="BN103" s="23">
        <v>19.45</v>
      </c>
      <c r="BO103" s="23" t="s">
        <v>389</v>
      </c>
      <c r="DO103" s="23">
        <v>610</v>
      </c>
      <c r="DP103" s="23">
        <v>330</v>
      </c>
      <c r="EJ103" s="12"/>
      <c r="EL103" s="15"/>
      <c r="FT103" s="23">
        <v>10</v>
      </c>
    </row>
    <row r="104" spans="1:176" s="23" customFormat="1" x14ac:dyDescent="0.25">
      <c r="A104" s="23">
        <v>10</v>
      </c>
      <c r="B104" s="27" t="s">
        <v>259</v>
      </c>
      <c r="C104" s="23" t="s">
        <v>260</v>
      </c>
      <c r="D104" s="23">
        <v>2015</v>
      </c>
      <c r="E104" s="23">
        <v>2010</v>
      </c>
      <c r="F104" s="23" t="s">
        <v>261</v>
      </c>
      <c r="G104" s="23" t="s">
        <v>262</v>
      </c>
      <c r="H104" s="23">
        <v>43.064999999999998</v>
      </c>
      <c r="I104" s="23">
        <v>-89.534999999999997</v>
      </c>
      <c r="J104" s="23">
        <v>331.7</v>
      </c>
      <c r="P104" s="53">
        <v>1</v>
      </c>
      <c r="Q104" s="53"/>
      <c r="R104" s="53" t="s">
        <v>264</v>
      </c>
      <c r="S104" s="53" t="s">
        <v>1558</v>
      </c>
      <c r="T104" s="53" t="s">
        <v>1558</v>
      </c>
      <c r="U104" s="53" t="s">
        <v>1558</v>
      </c>
      <c r="V104" s="53" t="s">
        <v>1905</v>
      </c>
      <c r="Z104" s="23" t="s">
        <v>531</v>
      </c>
      <c r="AA104" s="23">
        <v>7.1</v>
      </c>
      <c r="AB104" s="23">
        <v>2.9</v>
      </c>
      <c r="AD104" s="23" t="s">
        <v>1476</v>
      </c>
      <c r="AE104" s="23" t="s">
        <v>268</v>
      </c>
      <c r="AF104" s="152" t="s">
        <v>1761</v>
      </c>
      <c r="AG104" s="23" t="s">
        <v>267</v>
      </c>
      <c r="AH104" s="155" t="s">
        <v>1797</v>
      </c>
      <c r="AL104" s="23" t="s">
        <v>269</v>
      </c>
      <c r="AM104" s="23" t="s">
        <v>256</v>
      </c>
      <c r="AN104" s="23" t="s">
        <v>587</v>
      </c>
      <c r="AR104" s="23" t="s">
        <v>147</v>
      </c>
      <c r="AS104" s="23">
        <v>4</v>
      </c>
      <c r="AT104" s="23">
        <v>4</v>
      </c>
      <c r="AY104" s="64"/>
      <c r="BD104" s="23">
        <f t="shared" si="7"/>
        <v>32100</v>
      </c>
      <c r="BE104" s="23">
        <f>(6.5+0.7+7.8+0)/4*1000</f>
        <v>3750</v>
      </c>
      <c r="BF104" s="23" t="s">
        <v>273</v>
      </c>
      <c r="BM104" s="23">
        <v>11.22</v>
      </c>
      <c r="BN104" s="23">
        <v>4.84</v>
      </c>
      <c r="BO104" s="23" t="s">
        <v>389</v>
      </c>
      <c r="EJ104" s="12"/>
      <c r="EL104" s="15"/>
      <c r="FT104" s="23">
        <v>10</v>
      </c>
    </row>
    <row r="105" spans="1:176" s="23" customFormat="1" x14ac:dyDescent="0.25">
      <c r="A105" s="23">
        <v>10</v>
      </c>
      <c r="B105" s="27" t="s">
        <v>259</v>
      </c>
      <c r="C105" s="23" t="s">
        <v>260</v>
      </c>
      <c r="D105" s="23">
        <v>2015</v>
      </c>
      <c r="E105" s="23">
        <v>2011</v>
      </c>
      <c r="F105" s="23" t="s">
        <v>261</v>
      </c>
      <c r="G105" s="23" t="s">
        <v>262</v>
      </c>
      <c r="H105" s="23">
        <v>43.064999999999998</v>
      </c>
      <c r="I105" s="23">
        <v>-89.534999999999997</v>
      </c>
      <c r="J105" s="23">
        <v>331.7</v>
      </c>
      <c r="P105" s="53">
        <v>2</v>
      </c>
      <c r="Q105" s="53"/>
      <c r="R105" s="53" t="s">
        <v>265</v>
      </c>
      <c r="S105" s="53" t="s">
        <v>1558</v>
      </c>
      <c r="T105" s="53" t="s">
        <v>1558</v>
      </c>
      <c r="U105" s="53" t="s">
        <v>1558</v>
      </c>
      <c r="V105" s="53" t="s">
        <v>1905</v>
      </c>
      <c r="Z105" s="23" t="s">
        <v>531</v>
      </c>
      <c r="AA105" s="23">
        <v>7.1</v>
      </c>
      <c r="AB105" s="23">
        <v>2.9</v>
      </c>
      <c r="AD105" s="23" t="s">
        <v>1476</v>
      </c>
      <c r="AE105" s="23" t="s">
        <v>268</v>
      </c>
      <c r="AF105" s="152" t="s">
        <v>1761</v>
      </c>
      <c r="AG105" s="23" t="s">
        <v>267</v>
      </c>
      <c r="AH105" s="155" t="s">
        <v>1797</v>
      </c>
      <c r="AL105" s="23" t="s">
        <v>269</v>
      </c>
      <c r="AM105" s="23" t="s">
        <v>256</v>
      </c>
      <c r="AN105" s="23" t="s">
        <v>587</v>
      </c>
      <c r="AR105" s="23" t="s">
        <v>147</v>
      </c>
      <c r="AS105" s="23">
        <v>4</v>
      </c>
      <c r="AT105" s="23">
        <v>4</v>
      </c>
      <c r="AY105" s="64"/>
      <c r="BM105" s="23">
        <v>17.41</v>
      </c>
      <c r="BN105" s="23">
        <v>11.04</v>
      </c>
      <c r="BO105" s="23" t="s">
        <v>389</v>
      </c>
      <c r="EJ105" s="12"/>
      <c r="EL105" s="15"/>
      <c r="FT105" s="23">
        <v>10</v>
      </c>
    </row>
    <row r="106" spans="1:176" s="23" customFormat="1" x14ac:dyDescent="0.25">
      <c r="A106" s="23">
        <v>10</v>
      </c>
      <c r="B106" s="27" t="s">
        <v>259</v>
      </c>
      <c r="C106" s="23" t="s">
        <v>260</v>
      </c>
      <c r="D106" s="23">
        <v>2015</v>
      </c>
      <c r="E106" s="23">
        <v>2011</v>
      </c>
      <c r="F106" s="23" t="s">
        <v>261</v>
      </c>
      <c r="G106" s="23" t="s">
        <v>263</v>
      </c>
      <c r="H106" s="23">
        <v>43.314</v>
      </c>
      <c r="I106" s="23">
        <v>-89.335999999999999</v>
      </c>
      <c r="J106" s="23">
        <v>326.5</v>
      </c>
      <c r="P106" s="53">
        <v>2</v>
      </c>
      <c r="Q106" s="53"/>
      <c r="R106" s="53" t="s">
        <v>266</v>
      </c>
      <c r="S106" s="53" t="s">
        <v>1558</v>
      </c>
      <c r="T106" s="53" t="s">
        <v>1558</v>
      </c>
      <c r="U106" s="53" t="s">
        <v>1558</v>
      </c>
      <c r="V106" s="53" t="s">
        <v>1905</v>
      </c>
      <c r="Z106" s="23" t="s">
        <v>531</v>
      </c>
      <c r="AA106" s="23">
        <v>7.3</v>
      </c>
      <c r="AB106" s="23">
        <v>4</v>
      </c>
      <c r="AD106" s="23" t="s">
        <v>1476</v>
      </c>
      <c r="AE106" s="23" t="s">
        <v>268</v>
      </c>
      <c r="AF106" s="152" t="s">
        <v>1761</v>
      </c>
      <c r="AG106" s="23" t="s">
        <v>267</v>
      </c>
      <c r="AH106" s="155" t="s">
        <v>1797</v>
      </c>
      <c r="AL106" s="23" t="s">
        <v>269</v>
      </c>
      <c r="AM106" s="23" t="s">
        <v>256</v>
      </c>
      <c r="AN106" s="23" t="s">
        <v>587</v>
      </c>
      <c r="AR106" s="23" t="s">
        <v>147</v>
      </c>
      <c r="AS106" s="23">
        <v>4</v>
      </c>
      <c r="AT106" s="23">
        <v>4</v>
      </c>
      <c r="AY106" s="64"/>
      <c r="BM106" s="23">
        <v>27.1</v>
      </c>
      <c r="BN106" s="23">
        <v>13.22</v>
      </c>
      <c r="BO106" s="23" t="s">
        <v>389</v>
      </c>
      <c r="EJ106" s="12"/>
      <c r="EL106" s="15"/>
      <c r="FT106" s="23">
        <v>10</v>
      </c>
    </row>
    <row r="107" spans="1:176" s="23" customFormat="1" x14ac:dyDescent="0.25">
      <c r="A107" s="23">
        <v>10</v>
      </c>
      <c r="B107" s="27" t="s">
        <v>259</v>
      </c>
      <c r="C107" s="23" t="s">
        <v>260</v>
      </c>
      <c r="D107" s="23">
        <v>2015</v>
      </c>
      <c r="E107" s="23">
        <v>2010</v>
      </c>
      <c r="F107" s="23" t="s">
        <v>261</v>
      </c>
      <c r="G107" s="23" t="s">
        <v>262</v>
      </c>
      <c r="H107" s="23">
        <v>43.064999999999998</v>
      </c>
      <c r="I107" s="23">
        <v>-89.534999999999997</v>
      </c>
      <c r="J107" s="23">
        <v>331.7</v>
      </c>
      <c r="P107" s="53">
        <v>1</v>
      </c>
      <c r="Q107" s="53"/>
      <c r="R107" s="53" t="s">
        <v>264</v>
      </c>
      <c r="S107" s="53" t="s">
        <v>1558</v>
      </c>
      <c r="T107" s="53" t="s">
        <v>1558</v>
      </c>
      <c r="U107" s="53" t="s">
        <v>1558</v>
      </c>
      <c r="V107" s="53" t="s">
        <v>1905</v>
      </c>
      <c r="Z107" s="23" t="s">
        <v>531</v>
      </c>
      <c r="AA107" s="23">
        <v>7.1</v>
      </c>
      <c r="AB107" s="23">
        <v>2.9</v>
      </c>
      <c r="AD107" s="23" t="s">
        <v>1476</v>
      </c>
      <c r="AE107" s="23" t="s">
        <v>1702</v>
      </c>
      <c r="AF107" s="152" t="s">
        <v>1761</v>
      </c>
      <c r="AG107" s="23" t="s">
        <v>267</v>
      </c>
      <c r="AH107" s="155" t="s">
        <v>1797</v>
      </c>
      <c r="AL107" s="23" t="s">
        <v>269</v>
      </c>
      <c r="AM107" s="23" t="s">
        <v>256</v>
      </c>
      <c r="AN107" s="23" t="s">
        <v>587</v>
      </c>
      <c r="AR107" s="23" t="s">
        <v>147</v>
      </c>
      <c r="AS107" s="23">
        <v>4</v>
      </c>
      <c r="AT107" s="23">
        <v>4</v>
      </c>
      <c r="AY107" s="64"/>
      <c r="BD107" s="23">
        <f t="shared" si="7"/>
        <v>32100</v>
      </c>
      <c r="BE107" s="23">
        <f>(2.1+0+13.4+8.1)/4*1000</f>
        <v>5900</v>
      </c>
      <c r="BF107" s="23" t="s">
        <v>273</v>
      </c>
      <c r="BM107" s="23">
        <v>11.22</v>
      </c>
      <c r="BN107" s="23">
        <v>5.04</v>
      </c>
      <c r="BO107" s="23" t="s">
        <v>389</v>
      </c>
      <c r="EJ107" s="12"/>
      <c r="EL107" s="15"/>
      <c r="FT107" s="23">
        <v>10</v>
      </c>
    </row>
    <row r="108" spans="1:176" s="23" customFormat="1" x14ac:dyDescent="0.25">
      <c r="A108" s="23">
        <v>10</v>
      </c>
      <c r="B108" s="27" t="s">
        <v>259</v>
      </c>
      <c r="C108" s="23" t="s">
        <v>260</v>
      </c>
      <c r="D108" s="23">
        <v>2015</v>
      </c>
      <c r="E108" s="23">
        <v>2011</v>
      </c>
      <c r="F108" s="23" t="s">
        <v>261</v>
      </c>
      <c r="G108" s="23" t="s">
        <v>262</v>
      </c>
      <c r="H108" s="23">
        <v>43.064999999999998</v>
      </c>
      <c r="I108" s="23">
        <v>-89.534999999999997</v>
      </c>
      <c r="J108" s="23">
        <v>331.7</v>
      </c>
      <c r="P108" s="53">
        <v>2</v>
      </c>
      <c r="Q108" s="53"/>
      <c r="R108" s="53" t="s">
        <v>265</v>
      </c>
      <c r="S108" s="53" t="s">
        <v>1558</v>
      </c>
      <c r="T108" s="53" t="s">
        <v>1558</v>
      </c>
      <c r="U108" s="53" t="s">
        <v>1558</v>
      </c>
      <c r="V108" s="53" t="s">
        <v>1905</v>
      </c>
      <c r="Z108" s="23" t="s">
        <v>531</v>
      </c>
      <c r="AA108" s="23">
        <v>7.1</v>
      </c>
      <c r="AB108" s="23">
        <v>2.9</v>
      </c>
      <c r="AD108" s="23" t="s">
        <v>1476</v>
      </c>
      <c r="AE108" s="23" t="s">
        <v>1702</v>
      </c>
      <c r="AF108" s="152" t="s">
        <v>1761</v>
      </c>
      <c r="AG108" s="23" t="s">
        <v>267</v>
      </c>
      <c r="AH108" s="155" t="s">
        <v>1797</v>
      </c>
      <c r="AL108" s="23" t="s">
        <v>269</v>
      </c>
      <c r="AM108" s="23" t="s">
        <v>256</v>
      </c>
      <c r="AN108" s="23" t="s">
        <v>587</v>
      </c>
      <c r="AR108" s="23" t="s">
        <v>147</v>
      </c>
      <c r="AS108" s="23">
        <v>4</v>
      </c>
      <c r="AT108" s="23">
        <v>4</v>
      </c>
      <c r="AY108" s="64"/>
      <c r="BM108" s="23">
        <v>17.41</v>
      </c>
      <c r="BN108" s="23">
        <v>11.24</v>
      </c>
      <c r="BO108" s="23" t="s">
        <v>389</v>
      </c>
      <c r="EJ108" s="12"/>
      <c r="EL108" s="15"/>
      <c r="FT108" s="23">
        <v>10</v>
      </c>
    </row>
    <row r="109" spans="1:176" s="23" customFormat="1" x14ac:dyDescent="0.25">
      <c r="A109" s="23">
        <v>10</v>
      </c>
      <c r="B109" s="27" t="s">
        <v>259</v>
      </c>
      <c r="C109" s="23" t="s">
        <v>260</v>
      </c>
      <c r="D109" s="23">
        <v>2015</v>
      </c>
      <c r="E109" s="23">
        <v>2011</v>
      </c>
      <c r="F109" s="23" t="s">
        <v>261</v>
      </c>
      <c r="G109" s="23" t="s">
        <v>263</v>
      </c>
      <c r="H109" s="23">
        <v>43.314</v>
      </c>
      <c r="I109" s="23">
        <v>-89.335999999999999</v>
      </c>
      <c r="J109" s="23">
        <v>326.5</v>
      </c>
      <c r="P109" s="53">
        <v>2</v>
      </c>
      <c r="Q109" s="53"/>
      <c r="R109" s="53" t="s">
        <v>266</v>
      </c>
      <c r="S109" s="53" t="s">
        <v>1558</v>
      </c>
      <c r="T109" s="53" t="s">
        <v>1558</v>
      </c>
      <c r="U109" s="53" t="s">
        <v>1558</v>
      </c>
      <c r="V109" s="53" t="s">
        <v>1905</v>
      </c>
      <c r="Z109" s="23" t="s">
        <v>531</v>
      </c>
      <c r="AA109" s="23">
        <v>7.3</v>
      </c>
      <c r="AB109" s="23">
        <v>4</v>
      </c>
      <c r="AD109" s="23" t="s">
        <v>1476</v>
      </c>
      <c r="AE109" s="23" t="s">
        <v>1702</v>
      </c>
      <c r="AF109" s="152" t="s">
        <v>1761</v>
      </c>
      <c r="AG109" s="23" t="s">
        <v>267</v>
      </c>
      <c r="AH109" s="155" t="s">
        <v>1797</v>
      </c>
      <c r="AL109" s="23" t="s">
        <v>269</v>
      </c>
      <c r="AM109" s="23" t="s">
        <v>256</v>
      </c>
      <c r="AN109" s="23" t="s">
        <v>587</v>
      </c>
      <c r="AR109" s="23" t="s">
        <v>147</v>
      </c>
      <c r="AS109" s="23">
        <v>4</v>
      </c>
      <c r="AT109" s="23">
        <v>4</v>
      </c>
      <c r="AY109" s="64"/>
      <c r="BM109" s="23">
        <v>27.1</v>
      </c>
      <c r="BN109" s="23">
        <v>11.8</v>
      </c>
      <c r="BO109" s="23" t="s">
        <v>389</v>
      </c>
      <c r="EJ109" s="12"/>
      <c r="EL109" s="15"/>
      <c r="FT109" s="23">
        <v>10</v>
      </c>
    </row>
    <row r="110" spans="1:176" s="26" customFormat="1" x14ac:dyDescent="0.25">
      <c r="A110" s="26">
        <v>11</v>
      </c>
      <c r="B110" s="26" t="s">
        <v>274</v>
      </c>
      <c r="C110" s="26" t="s">
        <v>275</v>
      </c>
      <c r="D110" s="26">
        <v>2010</v>
      </c>
      <c r="E110" s="26">
        <v>2005</v>
      </c>
      <c r="F110" s="26" t="s">
        <v>155</v>
      </c>
      <c r="G110" s="26" t="s">
        <v>277</v>
      </c>
      <c r="H110" s="26">
        <v>39.03</v>
      </c>
      <c r="I110" s="26">
        <v>-76.91</v>
      </c>
      <c r="J110" s="26">
        <v>34.6</v>
      </c>
      <c r="P110" s="52">
        <v>1</v>
      </c>
      <c r="Q110" s="52"/>
      <c r="R110" s="52" t="s">
        <v>265</v>
      </c>
      <c r="S110" s="52" t="s">
        <v>1558</v>
      </c>
      <c r="T110" s="52" t="s">
        <v>1558</v>
      </c>
      <c r="U110" s="52" t="s">
        <v>1558</v>
      </c>
      <c r="V110" s="52" t="s">
        <v>1905</v>
      </c>
      <c r="X110" s="26">
        <f t="shared" ref="X110:X127" si="8">(63+83)/2</f>
        <v>73</v>
      </c>
      <c r="Y110" s="26">
        <f t="shared" ref="Y110:Y127" si="9">(7+27)/2</f>
        <v>17</v>
      </c>
      <c r="Z110" s="26" t="s">
        <v>278</v>
      </c>
      <c r="AD110" s="26" t="s">
        <v>1477</v>
      </c>
      <c r="AE110" s="26" t="s">
        <v>159</v>
      </c>
      <c r="AF110" s="152" t="s">
        <v>159</v>
      </c>
      <c r="AG110" s="26" t="s">
        <v>280</v>
      </c>
      <c r="AH110" s="154" t="s">
        <v>1797</v>
      </c>
      <c r="AO110" s="26" t="s">
        <v>279</v>
      </c>
      <c r="AP110" s="26" t="s">
        <v>279</v>
      </c>
      <c r="AQ110" s="26" t="s">
        <v>212</v>
      </c>
      <c r="AR110" s="26" t="s">
        <v>276</v>
      </c>
      <c r="AS110" s="26">
        <v>4</v>
      </c>
      <c r="AT110" s="26">
        <v>4</v>
      </c>
      <c r="AU110" s="26" t="s">
        <v>169</v>
      </c>
      <c r="AY110" s="63"/>
      <c r="BD110" s="26">
        <v>56000</v>
      </c>
      <c r="BE110" s="26">
        <v>59600</v>
      </c>
      <c r="EG110" s="26">
        <f t="shared" ref="EG110:EG115" si="10">15.07*22.7273</f>
        <v>342.50041099999999</v>
      </c>
      <c r="EH110" s="26">
        <f>19.33*22.7273</f>
        <v>439.31870899999996</v>
      </c>
      <c r="EI110" s="26" t="s">
        <v>1890</v>
      </c>
      <c r="FT110" s="26">
        <v>11</v>
      </c>
    </row>
    <row r="111" spans="1:176" s="26" customFormat="1" x14ac:dyDescent="0.25">
      <c r="A111" s="26">
        <v>11</v>
      </c>
      <c r="B111" s="26" t="s">
        <v>274</v>
      </c>
      <c r="C111" s="26" t="s">
        <v>275</v>
      </c>
      <c r="D111" s="26">
        <v>2010</v>
      </c>
      <c r="E111" s="26">
        <v>2005</v>
      </c>
      <c r="F111" s="26" t="s">
        <v>155</v>
      </c>
      <c r="G111" s="26" t="s">
        <v>277</v>
      </c>
      <c r="H111" s="26">
        <v>39.03</v>
      </c>
      <c r="I111" s="26">
        <v>-76.91</v>
      </c>
      <c r="J111" s="26">
        <v>34.6</v>
      </c>
      <c r="P111" s="52">
        <v>1</v>
      </c>
      <c r="Q111" s="52"/>
      <c r="R111" s="52" t="s">
        <v>265</v>
      </c>
      <c r="S111" s="52" t="s">
        <v>1558</v>
      </c>
      <c r="T111" s="52" t="s">
        <v>1558</v>
      </c>
      <c r="U111" s="52" t="s">
        <v>1558</v>
      </c>
      <c r="V111" s="52" t="s">
        <v>1905</v>
      </c>
      <c r="X111" s="26">
        <f t="shared" si="8"/>
        <v>73</v>
      </c>
      <c r="Y111" s="26">
        <f t="shared" si="9"/>
        <v>17</v>
      </c>
      <c r="Z111" s="26" t="s">
        <v>278</v>
      </c>
      <c r="AD111" s="26" t="s">
        <v>1477</v>
      </c>
      <c r="AE111" s="26" t="s">
        <v>1703</v>
      </c>
      <c r="AF111" s="152" t="s">
        <v>159</v>
      </c>
      <c r="AG111" s="26" t="s">
        <v>280</v>
      </c>
      <c r="AH111" s="154" t="s">
        <v>1797</v>
      </c>
      <c r="AO111" s="26" t="s">
        <v>279</v>
      </c>
      <c r="AP111" s="26" t="s">
        <v>279</v>
      </c>
      <c r="AQ111" s="26" t="s">
        <v>212</v>
      </c>
      <c r="AR111" s="26" t="s">
        <v>276</v>
      </c>
      <c r="AS111" s="26">
        <v>4</v>
      </c>
      <c r="AT111" s="26">
        <v>4</v>
      </c>
      <c r="AU111" s="26" t="s">
        <v>169</v>
      </c>
      <c r="AY111" s="63"/>
      <c r="BD111" s="26">
        <v>56000</v>
      </c>
      <c r="BE111" s="26">
        <v>55100</v>
      </c>
      <c r="EG111" s="26">
        <f t="shared" si="10"/>
        <v>342.50041099999999</v>
      </c>
      <c r="EH111" s="26">
        <f>18.39*22.7273</f>
        <v>417.95504699999998</v>
      </c>
      <c r="EI111" s="26" t="s">
        <v>1890</v>
      </c>
      <c r="FT111" s="26">
        <v>11</v>
      </c>
    </row>
    <row r="112" spans="1:176" s="26" customFormat="1" x14ac:dyDescent="0.25">
      <c r="A112" s="26">
        <v>11</v>
      </c>
      <c r="B112" s="26" t="s">
        <v>274</v>
      </c>
      <c r="C112" s="26" t="s">
        <v>275</v>
      </c>
      <c r="D112" s="26">
        <v>2010</v>
      </c>
      <c r="E112" s="26">
        <v>2005</v>
      </c>
      <c r="F112" s="26" t="s">
        <v>155</v>
      </c>
      <c r="G112" s="26" t="s">
        <v>277</v>
      </c>
      <c r="H112" s="26">
        <v>39.03</v>
      </c>
      <c r="I112" s="26">
        <v>-76.91</v>
      </c>
      <c r="J112" s="26">
        <v>34.6</v>
      </c>
      <c r="P112" s="52">
        <v>1</v>
      </c>
      <c r="Q112" s="52"/>
      <c r="R112" s="52" t="s">
        <v>265</v>
      </c>
      <c r="S112" s="52" t="s">
        <v>1558</v>
      </c>
      <c r="T112" s="52" t="s">
        <v>1558</v>
      </c>
      <c r="U112" s="52" t="s">
        <v>1558</v>
      </c>
      <c r="V112" s="52" t="s">
        <v>1905</v>
      </c>
      <c r="X112" s="26">
        <f t="shared" si="8"/>
        <v>73</v>
      </c>
      <c r="Y112" s="26">
        <f t="shared" si="9"/>
        <v>17</v>
      </c>
      <c r="Z112" s="26" t="s">
        <v>278</v>
      </c>
      <c r="AD112" s="26" t="s">
        <v>1477</v>
      </c>
      <c r="AE112" s="26" t="s">
        <v>1704</v>
      </c>
      <c r="AF112" s="152" t="s">
        <v>159</v>
      </c>
      <c r="AG112" s="26" t="s">
        <v>280</v>
      </c>
      <c r="AH112" s="154" t="s">
        <v>1797</v>
      </c>
      <c r="AO112" s="26" t="s">
        <v>279</v>
      </c>
      <c r="AP112" s="26" t="s">
        <v>279</v>
      </c>
      <c r="AQ112" s="26" t="s">
        <v>212</v>
      </c>
      <c r="AR112" s="26" t="s">
        <v>276</v>
      </c>
      <c r="AS112" s="26">
        <v>4</v>
      </c>
      <c r="AT112" s="26">
        <v>4</v>
      </c>
      <c r="AU112" s="26" t="s">
        <v>169</v>
      </c>
      <c r="AY112" s="63"/>
      <c r="BD112" s="26">
        <v>56000</v>
      </c>
      <c r="BE112" s="26">
        <v>57900</v>
      </c>
      <c r="EG112" s="26">
        <f t="shared" si="10"/>
        <v>342.50041099999999</v>
      </c>
      <c r="EH112" s="26">
        <f>16.72*22.7273</f>
        <v>380.00045599999999</v>
      </c>
      <c r="EI112" s="26" t="s">
        <v>1890</v>
      </c>
      <c r="FT112" s="26">
        <v>11</v>
      </c>
    </row>
    <row r="113" spans="1:176" s="26" customFormat="1" x14ac:dyDescent="0.25">
      <c r="A113" s="26">
        <v>11</v>
      </c>
      <c r="B113" s="26" t="s">
        <v>274</v>
      </c>
      <c r="C113" s="26" t="s">
        <v>275</v>
      </c>
      <c r="D113" s="26">
        <v>2010</v>
      </c>
      <c r="E113" s="26">
        <v>2005</v>
      </c>
      <c r="F113" s="26" t="s">
        <v>155</v>
      </c>
      <c r="G113" s="26" t="s">
        <v>277</v>
      </c>
      <c r="H113" s="26">
        <v>39.03</v>
      </c>
      <c r="I113" s="26">
        <v>-76.91</v>
      </c>
      <c r="J113" s="26">
        <v>34.6</v>
      </c>
      <c r="P113" s="52">
        <v>1</v>
      </c>
      <c r="Q113" s="52"/>
      <c r="R113" s="52" t="s">
        <v>265</v>
      </c>
      <c r="S113" s="52" t="s">
        <v>1558</v>
      </c>
      <c r="T113" s="52" t="s">
        <v>1558</v>
      </c>
      <c r="U113" s="52" t="s">
        <v>1558</v>
      </c>
      <c r="V113" s="52" t="s">
        <v>1905</v>
      </c>
      <c r="X113" s="26">
        <f t="shared" si="8"/>
        <v>73</v>
      </c>
      <c r="Y113" s="26">
        <f t="shared" si="9"/>
        <v>17</v>
      </c>
      <c r="Z113" s="26" t="s">
        <v>278</v>
      </c>
      <c r="AD113" s="26" t="s">
        <v>1477</v>
      </c>
      <c r="AE113" s="26" t="s">
        <v>281</v>
      </c>
      <c r="AF113" s="152" t="s">
        <v>666</v>
      </c>
      <c r="AG113" s="26" t="s">
        <v>280</v>
      </c>
      <c r="AH113" s="154" t="s">
        <v>1797</v>
      </c>
      <c r="AO113" s="26" t="s">
        <v>279</v>
      </c>
      <c r="AP113" s="26" t="s">
        <v>279</v>
      </c>
      <c r="AQ113" s="26" t="s">
        <v>212</v>
      </c>
      <c r="AR113" s="26" t="s">
        <v>276</v>
      </c>
      <c r="AS113" s="26">
        <v>4</v>
      </c>
      <c r="AT113" s="26">
        <v>4</v>
      </c>
      <c r="AU113" s="26" t="s">
        <v>169</v>
      </c>
      <c r="AY113" s="63"/>
      <c r="BD113" s="26">
        <v>56000</v>
      </c>
      <c r="BE113" s="26">
        <v>56000</v>
      </c>
      <c r="EG113" s="26">
        <f t="shared" si="10"/>
        <v>342.50041099999999</v>
      </c>
      <c r="EH113" s="26">
        <f>20.38*22.7273</f>
        <v>463.18237399999998</v>
      </c>
      <c r="EI113" s="26" t="s">
        <v>1890</v>
      </c>
      <c r="FT113" s="26">
        <v>11</v>
      </c>
    </row>
    <row r="114" spans="1:176" s="26" customFormat="1" x14ac:dyDescent="0.25">
      <c r="A114" s="26">
        <v>11</v>
      </c>
      <c r="B114" s="26" t="s">
        <v>274</v>
      </c>
      <c r="C114" s="26" t="s">
        <v>275</v>
      </c>
      <c r="D114" s="26">
        <v>2010</v>
      </c>
      <c r="E114" s="26">
        <v>2005</v>
      </c>
      <c r="F114" s="26" t="s">
        <v>155</v>
      </c>
      <c r="G114" s="26" t="s">
        <v>277</v>
      </c>
      <c r="H114" s="26">
        <v>39.03</v>
      </c>
      <c r="I114" s="26">
        <v>-76.91</v>
      </c>
      <c r="J114" s="26">
        <v>34.6</v>
      </c>
      <c r="P114" s="52">
        <v>1</v>
      </c>
      <c r="Q114" s="52"/>
      <c r="R114" s="52" t="s">
        <v>265</v>
      </c>
      <c r="S114" s="52" t="s">
        <v>1558</v>
      </c>
      <c r="T114" s="52" t="s">
        <v>1558</v>
      </c>
      <c r="U114" s="52" t="s">
        <v>1558</v>
      </c>
      <c r="V114" s="52" t="s">
        <v>1905</v>
      </c>
      <c r="X114" s="26">
        <f t="shared" si="8"/>
        <v>73</v>
      </c>
      <c r="Y114" s="26">
        <f t="shared" si="9"/>
        <v>17</v>
      </c>
      <c r="Z114" s="26" t="s">
        <v>278</v>
      </c>
      <c r="AD114" s="26" t="s">
        <v>1477</v>
      </c>
      <c r="AE114" s="26" t="s">
        <v>1705</v>
      </c>
      <c r="AF114" s="152" t="s">
        <v>666</v>
      </c>
      <c r="AG114" s="26" t="s">
        <v>280</v>
      </c>
      <c r="AH114" s="154" t="s">
        <v>1797</v>
      </c>
      <c r="AO114" s="26" t="s">
        <v>279</v>
      </c>
      <c r="AP114" s="26" t="s">
        <v>279</v>
      </c>
      <c r="AQ114" s="26" t="s">
        <v>212</v>
      </c>
      <c r="AR114" s="26" t="s">
        <v>276</v>
      </c>
      <c r="AS114" s="26">
        <v>4</v>
      </c>
      <c r="AT114" s="26">
        <v>4</v>
      </c>
      <c r="AU114" s="26" t="s">
        <v>169</v>
      </c>
      <c r="AY114" s="63"/>
      <c r="BD114" s="26">
        <v>56000</v>
      </c>
      <c r="BE114" s="26">
        <v>44400</v>
      </c>
      <c r="EG114" s="26">
        <f t="shared" si="10"/>
        <v>342.50041099999999</v>
      </c>
      <c r="EH114" s="26">
        <f>19.04*22.7273</f>
        <v>432.72779199999997</v>
      </c>
      <c r="EI114" s="26" t="s">
        <v>1890</v>
      </c>
      <c r="FT114" s="26">
        <v>11</v>
      </c>
    </row>
    <row r="115" spans="1:176" s="26" customFormat="1" x14ac:dyDescent="0.25">
      <c r="A115" s="26">
        <v>11</v>
      </c>
      <c r="B115" s="26" t="s">
        <v>274</v>
      </c>
      <c r="C115" s="26" t="s">
        <v>275</v>
      </c>
      <c r="D115" s="26">
        <v>2010</v>
      </c>
      <c r="E115" s="26">
        <v>2005</v>
      </c>
      <c r="F115" s="26" t="s">
        <v>155</v>
      </c>
      <c r="G115" s="26" t="s">
        <v>277</v>
      </c>
      <c r="H115" s="26">
        <v>39.03</v>
      </c>
      <c r="I115" s="26">
        <v>-76.91</v>
      </c>
      <c r="J115" s="26">
        <v>34.6</v>
      </c>
      <c r="P115" s="52">
        <v>1</v>
      </c>
      <c r="Q115" s="52"/>
      <c r="R115" s="52" t="s">
        <v>265</v>
      </c>
      <c r="S115" s="52" t="s">
        <v>1558</v>
      </c>
      <c r="T115" s="52" t="s">
        <v>1558</v>
      </c>
      <c r="U115" s="52" t="s">
        <v>1558</v>
      </c>
      <c r="V115" s="52" t="s">
        <v>1905</v>
      </c>
      <c r="X115" s="26">
        <f t="shared" si="8"/>
        <v>73</v>
      </c>
      <c r="Y115" s="26">
        <f t="shared" si="9"/>
        <v>17</v>
      </c>
      <c r="Z115" s="26" t="s">
        <v>278</v>
      </c>
      <c r="AD115" s="26" t="s">
        <v>1477</v>
      </c>
      <c r="AE115" s="26" t="s">
        <v>1706</v>
      </c>
      <c r="AF115" s="152" t="s">
        <v>666</v>
      </c>
      <c r="AG115" s="26" t="s">
        <v>280</v>
      </c>
      <c r="AH115" s="154" t="s">
        <v>1797</v>
      </c>
      <c r="AO115" s="26" t="s">
        <v>279</v>
      </c>
      <c r="AP115" s="26" t="s">
        <v>279</v>
      </c>
      <c r="AQ115" s="26" t="s">
        <v>212</v>
      </c>
      <c r="AR115" s="26" t="s">
        <v>276</v>
      </c>
      <c r="AS115" s="26">
        <v>4</v>
      </c>
      <c r="AT115" s="26">
        <v>4</v>
      </c>
      <c r="AU115" s="26" t="s">
        <v>169</v>
      </c>
      <c r="AY115" s="63"/>
      <c r="BD115" s="26">
        <v>56000</v>
      </c>
      <c r="BE115" s="26">
        <v>62300</v>
      </c>
      <c r="EG115" s="26">
        <f t="shared" si="10"/>
        <v>342.50041099999999</v>
      </c>
      <c r="EH115" s="26">
        <f>17.39*22.7273</f>
        <v>395.22774700000002</v>
      </c>
      <c r="EI115" s="26" t="s">
        <v>1890</v>
      </c>
      <c r="FT115" s="26">
        <v>11</v>
      </c>
    </row>
    <row r="116" spans="1:176" s="22" customFormat="1" x14ac:dyDescent="0.25">
      <c r="A116" s="26">
        <v>11</v>
      </c>
      <c r="B116" s="26" t="s">
        <v>274</v>
      </c>
      <c r="C116" s="26" t="s">
        <v>275</v>
      </c>
      <c r="D116" s="26">
        <v>2010</v>
      </c>
      <c r="E116" s="26">
        <v>2006</v>
      </c>
      <c r="F116" s="26" t="s">
        <v>155</v>
      </c>
      <c r="G116" s="26" t="s">
        <v>277</v>
      </c>
      <c r="H116" s="26">
        <v>39.03</v>
      </c>
      <c r="I116" s="26">
        <v>-76.91</v>
      </c>
      <c r="J116" s="26">
        <v>34.6</v>
      </c>
      <c r="K116" s="26"/>
      <c r="L116" s="26"/>
      <c r="M116" s="26"/>
      <c r="N116" s="26"/>
      <c r="O116" s="26"/>
      <c r="P116" s="52">
        <v>2</v>
      </c>
      <c r="Q116" s="52"/>
      <c r="R116" s="52" t="s">
        <v>265</v>
      </c>
      <c r="S116" s="52" t="s">
        <v>1558</v>
      </c>
      <c r="T116" s="52" t="s">
        <v>1558</v>
      </c>
      <c r="U116" s="52" t="s">
        <v>1558</v>
      </c>
      <c r="V116" s="52" t="s">
        <v>1905</v>
      </c>
      <c r="W116" s="26"/>
      <c r="X116" s="26">
        <f t="shared" si="8"/>
        <v>73</v>
      </c>
      <c r="Y116" s="26">
        <f t="shared" si="9"/>
        <v>17</v>
      </c>
      <c r="Z116" s="26" t="s">
        <v>278</v>
      </c>
      <c r="AA116" s="26"/>
      <c r="AB116" s="26"/>
      <c r="AC116" s="26"/>
      <c r="AD116" s="26" t="s">
        <v>1477</v>
      </c>
      <c r="AE116" s="26" t="s">
        <v>159</v>
      </c>
      <c r="AF116" s="152" t="s">
        <v>159</v>
      </c>
      <c r="AG116" s="26" t="s">
        <v>280</v>
      </c>
      <c r="AH116" s="154" t="s">
        <v>1797</v>
      </c>
      <c r="AI116" s="26"/>
      <c r="AJ116" s="26"/>
      <c r="AK116" s="26"/>
      <c r="AL116" s="26"/>
      <c r="AM116" s="26"/>
      <c r="AN116" s="26"/>
      <c r="AO116" s="26" t="s">
        <v>279</v>
      </c>
      <c r="AP116" s="26" t="s">
        <v>279</v>
      </c>
      <c r="AQ116" s="26" t="s">
        <v>212</v>
      </c>
      <c r="AR116" s="26" t="s">
        <v>276</v>
      </c>
      <c r="AS116" s="26">
        <v>4</v>
      </c>
      <c r="AT116" s="26">
        <v>4</v>
      </c>
      <c r="AU116" s="26" t="s">
        <v>169</v>
      </c>
      <c r="AY116" s="64"/>
      <c r="BD116" s="22">
        <v>83900</v>
      </c>
      <c r="BE116" s="22">
        <v>80700</v>
      </c>
      <c r="EJ116" s="12"/>
      <c r="EL116" s="15"/>
      <c r="FN116" s="26"/>
      <c r="FO116" s="26"/>
      <c r="FP116" s="26"/>
      <c r="FQ116" s="26"/>
      <c r="FT116" s="26">
        <v>11</v>
      </c>
    </row>
    <row r="117" spans="1:176" s="22" customFormat="1" x14ac:dyDescent="0.25">
      <c r="A117" s="26">
        <v>11</v>
      </c>
      <c r="B117" s="26" t="s">
        <v>274</v>
      </c>
      <c r="C117" s="26" t="s">
        <v>275</v>
      </c>
      <c r="D117" s="26">
        <v>2010</v>
      </c>
      <c r="E117" s="26">
        <v>2006</v>
      </c>
      <c r="F117" s="26" t="s">
        <v>155</v>
      </c>
      <c r="G117" s="26" t="s">
        <v>277</v>
      </c>
      <c r="H117" s="26">
        <v>39.03</v>
      </c>
      <c r="I117" s="26">
        <v>-76.91</v>
      </c>
      <c r="J117" s="26">
        <v>34.6</v>
      </c>
      <c r="K117" s="26"/>
      <c r="L117" s="26"/>
      <c r="M117" s="26"/>
      <c r="N117" s="26"/>
      <c r="O117" s="26"/>
      <c r="P117" s="52">
        <v>2</v>
      </c>
      <c r="Q117" s="52"/>
      <c r="R117" s="52" t="s">
        <v>265</v>
      </c>
      <c r="S117" s="52" t="s">
        <v>1558</v>
      </c>
      <c r="T117" s="52" t="s">
        <v>1558</v>
      </c>
      <c r="U117" s="52" t="s">
        <v>1558</v>
      </c>
      <c r="V117" s="52" t="s">
        <v>1905</v>
      </c>
      <c r="W117" s="26"/>
      <c r="X117" s="26">
        <f t="shared" si="8"/>
        <v>73</v>
      </c>
      <c r="Y117" s="26">
        <f t="shared" si="9"/>
        <v>17</v>
      </c>
      <c r="Z117" s="26" t="s">
        <v>278</v>
      </c>
      <c r="AA117" s="26"/>
      <c r="AB117" s="26"/>
      <c r="AC117" s="26"/>
      <c r="AD117" s="26" t="s">
        <v>1477</v>
      </c>
      <c r="AE117" s="26" t="s">
        <v>1703</v>
      </c>
      <c r="AF117" s="152" t="s">
        <v>159</v>
      </c>
      <c r="AG117" s="26" t="s">
        <v>280</v>
      </c>
      <c r="AH117" s="154" t="s">
        <v>1797</v>
      </c>
      <c r="AI117" s="26"/>
      <c r="AJ117" s="26"/>
      <c r="AK117" s="26"/>
      <c r="AL117" s="26"/>
      <c r="AM117" s="26"/>
      <c r="AN117" s="26"/>
      <c r="AO117" s="26" t="s">
        <v>279</v>
      </c>
      <c r="AP117" s="26" t="s">
        <v>279</v>
      </c>
      <c r="AQ117" s="26" t="s">
        <v>212</v>
      </c>
      <c r="AR117" s="26" t="s">
        <v>276</v>
      </c>
      <c r="AS117" s="26">
        <v>4</v>
      </c>
      <c r="AT117" s="26">
        <v>4</v>
      </c>
      <c r="AU117" s="26" t="s">
        <v>169</v>
      </c>
      <c r="AY117" s="64"/>
      <c r="BD117" s="22">
        <v>83900</v>
      </c>
      <c r="BE117" s="22">
        <v>70900</v>
      </c>
      <c r="EJ117" s="12"/>
      <c r="EL117" s="15"/>
      <c r="FN117" s="26"/>
      <c r="FO117" s="26"/>
      <c r="FP117" s="26"/>
      <c r="FQ117" s="26"/>
      <c r="FT117" s="26">
        <v>11</v>
      </c>
    </row>
    <row r="118" spans="1:176" s="22" customFormat="1" x14ac:dyDescent="0.25">
      <c r="A118" s="26">
        <v>11</v>
      </c>
      <c r="B118" s="26" t="s">
        <v>274</v>
      </c>
      <c r="C118" s="26" t="s">
        <v>275</v>
      </c>
      <c r="D118" s="26">
        <v>2010</v>
      </c>
      <c r="E118" s="26">
        <v>2006</v>
      </c>
      <c r="F118" s="26" t="s">
        <v>155</v>
      </c>
      <c r="G118" s="26" t="s">
        <v>277</v>
      </c>
      <c r="H118" s="26">
        <v>39.03</v>
      </c>
      <c r="I118" s="26">
        <v>-76.91</v>
      </c>
      <c r="J118" s="26">
        <v>34.6</v>
      </c>
      <c r="K118" s="26"/>
      <c r="L118" s="26"/>
      <c r="M118" s="26"/>
      <c r="N118" s="26"/>
      <c r="O118" s="26"/>
      <c r="P118" s="52">
        <v>2</v>
      </c>
      <c r="Q118" s="52"/>
      <c r="R118" s="52" t="s">
        <v>265</v>
      </c>
      <c r="S118" s="52" t="s">
        <v>1558</v>
      </c>
      <c r="T118" s="52" t="s">
        <v>1558</v>
      </c>
      <c r="U118" s="52" t="s">
        <v>1558</v>
      </c>
      <c r="V118" s="52" t="s">
        <v>1905</v>
      </c>
      <c r="W118" s="26"/>
      <c r="X118" s="26">
        <f t="shared" si="8"/>
        <v>73</v>
      </c>
      <c r="Y118" s="26">
        <f t="shared" si="9"/>
        <v>17</v>
      </c>
      <c r="Z118" s="26" t="s">
        <v>278</v>
      </c>
      <c r="AA118" s="26"/>
      <c r="AB118" s="26"/>
      <c r="AC118" s="26"/>
      <c r="AD118" s="26" t="s">
        <v>1477</v>
      </c>
      <c r="AE118" s="26" t="s">
        <v>1704</v>
      </c>
      <c r="AF118" s="152" t="s">
        <v>159</v>
      </c>
      <c r="AG118" s="26" t="s">
        <v>280</v>
      </c>
      <c r="AH118" s="154" t="s">
        <v>1797</v>
      </c>
      <c r="AI118" s="26"/>
      <c r="AJ118" s="26"/>
      <c r="AK118" s="26"/>
      <c r="AL118" s="26"/>
      <c r="AM118" s="26"/>
      <c r="AN118" s="26"/>
      <c r="AO118" s="26" t="s">
        <v>279</v>
      </c>
      <c r="AP118" s="26" t="s">
        <v>279</v>
      </c>
      <c r="AQ118" s="26" t="s">
        <v>212</v>
      </c>
      <c r="AR118" s="26" t="s">
        <v>276</v>
      </c>
      <c r="AS118" s="26">
        <v>4</v>
      </c>
      <c r="AT118" s="26">
        <v>4</v>
      </c>
      <c r="AU118" s="26" t="s">
        <v>169</v>
      </c>
      <c r="AY118" s="64"/>
      <c r="BD118" s="22">
        <v>83900</v>
      </c>
      <c r="BE118" s="22">
        <v>84100</v>
      </c>
      <c r="EJ118" s="12"/>
      <c r="EL118" s="15"/>
      <c r="FN118" s="26"/>
      <c r="FO118" s="26"/>
      <c r="FP118" s="26"/>
      <c r="FQ118" s="26"/>
      <c r="FT118" s="26">
        <v>11</v>
      </c>
    </row>
    <row r="119" spans="1:176" s="22" customFormat="1" x14ac:dyDescent="0.25">
      <c r="A119" s="26">
        <v>11</v>
      </c>
      <c r="B119" s="26" t="s">
        <v>274</v>
      </c>
      <c r="C119" s="26" t="s">
        <v>275</v>
      </c>
      <c r="D119" s="26">
        <v>2010</v>
      </c>
      <c r="E119" s="26">
        <v>2006</v>
      </c>
      <c r="F119" s="26" t="s">
        <v>155</v>
      </c>
      <c r="G119" s="26" t="s">
        <v>277</v>
      </c>
      <c r="H119" s="26">
        <v>39.03</v>
      </c>
      <c r="I119" s="26">
        <v>-76.91</v>
      </c>
      <c r="J119" s="26">
        <v>34.6</v>
      </c>
      <c r="K119" s="26"/>
      <c r="L119" s="26"/>
      <c r="M119" s="26"/>
      <c r="N119" s="26"/>
      <c r="O119" s="26"/>
      <c r="P119" s="52">
        <v>2</v>
      </c>
      <c r="Q119" s="52"/>
      <c r="R119" s="52" t="s">
        <v>265</v>
      </c>
      <c r="S119" s="52" t="s">
        <v>1558</v>
      </c>
      <c r="T119" s="52" t="s">
        <v>1558</v>
      </c>
      <c r="U119" s="52" t="s">
        <v>1558</v>
      </c>
      <c r="V119" s="52" t="s">
        <v>1905</v>
      </c>
      <c r="W119" s="26"/>
      <c r="X119" s="26">
        <f t="shared" si="8"/>
        <v>73</v>
      </c>
      <c r="Y119" s="26">
        <f t="shared" si="9"/>
        <v>17</v>
      </c>
      <c r="Z119" s="26" t="s">
        <v>278</v>
      </c>
      <c r="AA119" s="26"/>
      <c r="AB119" s="26"/>
      <c r="AC119" s="26"/>
      <c r="AD119" s="26" t="s">
        <v>1477</v>
      </c>
      <c r="AE119" s="26" t="s">
        <v>281</v>
      </c>
      <c r="AF119" s="152" t="s">
        <v>666</v>
      </c>
      <c r="AG119" s="26" t="s">
        <v>280</v>
      </c>
      <c r="AH119" s="154" t="s">
        <v>1797</v>
      </c>
      <c r="AI119" s="26"/>
      <c r="AJ119" s="26"/>
      <c r="AK119" s="26"/>
      <c r="AL119" s="26"/>
      <c r="AM119" s="26"/>
      <c r="AN119" s="26"/>
      <c r="AO119" s="26" t="s">
        <v>279</v>
      </c>
      <c r="AP119" s="26" t="s">
        <v>279</v>
      </c>
      <c r="AQ119" s="26" t="s">
        <v>212</v>
      </c>
      <c r="AR119" s="26" t="s">
        <v>276</v>
      </c>
      <c r="AS119" s="26">
        <v>4</v>
      </c>
      <c r="AT119" s="26">
        <v>4</v>
      </c>
      <c r="AU119" s="26" t="s">
        <v>169</v>
      </c>
      <c r="AY119" s="64"/>
      <c r="BD119" s="22">
        <v>83900</v>
      </c>
      <c r="BE119" s="22">
        <v>82100</v>
      </c>
      <c r="EJ119" s="12"/>
      <c r="EL119" s="15"/>
      <c r="FN119" s="26"/>
      <c r="FO119" s="26"/>
      <c r="FP119" s="26"/>
      <c r="FQ119" s="26"/>
      <c r="FT119" s="26">
        <v>11</v>
      </c>
    </row>
    <row r="120" spans="1:176" s="22" customFormat="1" x14ac:dyDescent="0.25">
      <c r="A120" s="26">
        <v>11</v>
      </c>
      <c r="B120" s="26" t="s">
        <v>274</v>
      </c>
      <c r="C120" s="26" t="s">
        <v>275</v>
      </c>
      <c r="D120" s="26">
        <v>2010</v>
      </c>
      <c r="E120" s="26">
        <v>2006</v>
      </c>
      <c r="F120" s="26" t="s">
        <v>155</v>
      </c>
      <c r="G120" s="26" t="s">
        <v>277</v>
      </c>
      <c r="H120" s="26">
        <v>39.03</v>
      </c>
      <c r="I120" s="26">
        <v>-76.91</v>
      </c>
      <c r="J120" s="26">
        <v>34.6</v>
      </c>
      <c r="K120" s="26"/>
      <c r="L120" s="26"/>
      <c r="M120" s="26"/>
      <c r="N120" s="26"/>
      <c r="O120" s="26"/>
      <c r="P120" s="52">
        <v>2</v>
      </c>
      <c r="Q120" s="52"/>
      <c r="R120" s="52" t="s">
        <v>265</v>
      </c>
      <c r="S120" s="52" t="s">
        <v>1558</v>
      </c>
      <c r="T120" s="52" t="s">
        <v>1558</v>
      </c>
      <c r="U120" s="52" t="s">
        <v>1558</v>
      </c>
      <c r="V120" s="52" t="s">
        <v>1905</v>
      </c>
      <c r="W120" s="26"/>
      <c r="X120" s="26">
        <f t="shared" si="8"/>
        <v>73</v>
      </c>
      <c r="Y120" s="26">
        <f t="shared" si="9"/>
        <v>17</v>
      </c>
      <c r="Z120" s="26" t="s">
        <v>278</v>
      </c>
      <c r="AA120" s="26"/>
      <c r="AB120" s="26"/>
      <c r="AC120" s="26"/>
      <c r="AD120" s="26" t="s">
        <v>1477</v>
      </c>
      <c r="AE120" s="26" t="s">
        <v>1705</v>
      </c>
      <c r="AF120" s="152" t="s">
        <v>666</v>
      </c>
      <c r="AG120" s="26" t="s">
        <v>280</v>
      </c>
      <c r="AH120" s="154" t="s">
        <v>1797</v>
      </c>
      <c r="AI120" s="26"/>
      <c r="AJ120" s="26"/>
      <c r="AK120" s="26"/>
      <c r="AL120" s="26"/>
      <c r="AM120" s="26"/>
      <c r="AN120" s="26"/>
      <c r="AO120" s="26" t="s">
        <v>279</v>
      </c>
      <c r="AP120" s="26" t="s">
        <v>279</v>
      </c>
      <c r="AQ120" s="26" t="s">
        <v>212</v>
      </c>
      <c r="AR120" s="26" t="s">
        <v>276</v>
      </c>
      <c r="AS120" s="26">
        <v>4</v>
      </c>
      <c r="AT120" s="26">
        <v>4</v>
      </c>
      <c r="AU120" s="26" t="s">
        <v>169</v>
      </c>
      <c r="AY120" s="64"/>
      <c r="BD120" s="22">
        <v>83900</v>
      </c>
      <c r="BE120" s="22">
        <v>59300</v>
      </c>
      <c r="EJ120" s="12"/>
      <c r="EL120" s="15"/>
      <c r="FN120" s="26"/>
      <c r="FO120" s="26"/>
      <c r="FP120" s="26"/>
      <c r="FQ120" s="26"/>
      <c r="FT120" s="26">
        <v>11</v>
      </c>
    </row>
    <row r="121" spans="1:176" s="22" customFormat="1" x14ac:dyDescent="0.25">
      <c r="A121" s="26">
        <v>11</v>
      </c>
      <c r="B121" s="26" t="s">
        <v>274</v>
      </c>
      <c r="C121" s="26" t="s">
        <v>275</v>
      </c>
      <c r="D121" s="26">
        <v>2010</v>
      </c>
      <c r="E121" s="26">
        <v>2006</v>
      </c>
      <c r="F121" s="26" t="s">
        <v>155</v>
      </c>
      <c r="G121" s="26" t="s">
        <v>277</v>
      </c>
      <c r="H121" s="26">
        <v>39.03</v>
      </c>
      <c r="I121" s="26">
        <v>-76.91</v>
      </c>
      <c r="J121" s="26">
        <v>34.6</v>
      </c>
      <c r="K121" s="26"/>
      <c r="L121" s="26"/>
      <c r="M121" s="26"/>
      <c r="N121" s="26"/>
      <c r="O121" s="26"/>
      <c r="P121" s="52">
        <v>2</v>
      </c>
      <c r="Q121" s="52"/>
      <c r="R121" s="52" t="s">
        <v>265</v>
      </c>
      <c r="S121" s="52" t="s">
        <v>1558</v>
      </c>
      <c r="T121" s="52" t="s">
        <v>1558</v>
      </c>
      <c r="U121" s="52" t="s">
        <v>1558</v>
      </c>
      <c r="V121" s="52" t="s">
        <v>1905</v>
      </c>
      <c r="W121" s="26"/>
      <c r="X121" s="26">
        <f t="shared" si="8"/>
        <v>73</v>
      </c>
      <c r="Y121" s="26">
        <f t="shared" si="9"/>
        <v>17</v>
      </c>
      <c r="Z121" s="26" t="s">
        <v>278</v>
      </c>
      <c r="AA121" s="26"/>
      <c r="AB121" s="26"/>
      <c r="AC121" s="26"/>
      <c r="AD121" s="26" t="s">
        <v>1477</v>
      </c>
      <c r="AE121" s="26" t="s">
        <v>1706</v>
      </c>
      <c r="AF121" s="152" t="s">
        <v>666</v>
      </c>
      <c r="AG121" s="26" t="s">
        <v>280</v>
      </c>
      <c r="AH121" s="154" t="s">
        <v>1797</v>
      </c>
      <c r="AI121" s="26"/>
      <c r="AJ121" s="26"/>
      <c r="AK121" s="26"/>
      <c r="AL121" s="26"/>
      <c r="AM121" s="26"/>
      <c r="AN121" s="26"/>
      <c r="AO121" s="26" t="s">
        <v>279</v>
      </c>
      <c r="AP121" s="26" t="s">
        <v>279</v>
      </c>
      <c r="AQ121" s="26" t="s">
        <v>212</v>
      </c>
      <c r="AR121" s="26" t="s">
        <v>276</v>
      </c>
      <c r="AS121" s="26">
        <v>4</v>
      </c>
      <c r="AT121" s="26">
        <v>4</v>
      </c>
      <c r="AU121" s="26" t="s">
        <v>169</v>
      </c>
      <c r="AY121" s="64"/>
      <c r="BD121" s="22">
        <v>83900</v>
      </c>
      <c r="BE121" s="22">
        <v>82600</v>
      </c>
      <c r="EJ121" s="12"/>
      <c r="EL121" s="15"/>
      <c r="FN121" s="26"/>
      <c r="FO121" s="26"/>
      <c r="FP121" s="26"/>
      <c r="FQ121" s="26"/>
      <c r="FT121" s="26">
        <v>11</v>
      </c>
    </row>
    <row r="122" spans="1:176" s="22" customFormat="1" x14ac:dyDescent="0.25">
      <c r="A122" s="26">
        <v>11</v>
      </c>
      <c r="B122" s="26" t="s">
        <v>274</v>
      </c>
      <c r="C122" s="26" t="s">
        <v>275</v>
      </c>
      <c r="D122" s="26">
        <v>2010</v>
      </c>
      <c r="E122" s="26">
        <v>2007</v>
      </c>
      <c r="F122" s="26" t="s">
        <v>155</v>
      </c>
      <c r="G122" s="26" t="s">
        <v>277</v>
      </c>
      <c r="H122" s="26">
        <v>39.03</v>
      </c>
      <c r="I122" s="26">
        <v>-76.91</v>
      </c>
      <c r="J122" s="26">
        <v>34.6</v>
      </c>
      <c r="K122" s="26"/>
      <c r="L122" s="26"/>
      <c r="M122" s="26"/>
      <c r="N122" s="26"/>
      <c r="O122" s="26"/>
      <c r="P122" s="52">
        <v>3</v>
      </c>
      <c r="Q122" s="52"/>
      <c r="R122" s="52" t="s">
        <v>265</v>
      </c>
      <c r="S122" s="52" t="s">
        <v>1558</v>
      </c>
      <c r="T122" s="52" t="s">
        <v>1558</v>
      </c>
      <c r="U122" s="52" t="s">
        <v>1558</v>
      </c>
      <c r="V122" s="52" t="s">
        <v>1905</v>
      </c>
      <c r="W122" s="26"/>
      <c r="X122" s="26">
        <f t="shared" si="8"/>
        <v>73</v>
      </c>
      <c r="Y122" s="26">
        <f t="shared" si="9"/>
        <v>17</v>
      </c>
      <c r="Z122" s="26" t="s">
        <v>278</v>
      </c>
      <c r="AA122" s="26"/>
      <c r="AB122" s="26"/>
      <c r="AC122" s="26"/>
      <c r="AD122" s="26" t="s">
        <v>1477</v>
      </c>
      <c r="AE122" s="26" t="s">
        <v>159</v>
      </c>
      <c r="AF122" s="152" t="s">
        <v>159</v>
      </c>
      <c r="AG122" s="26" t="s">
        <v>280</v>
      </c>
      <c r="AH122" s="154" t="s">
        <v>1797</v>
      </c>
      <c r="AI122" s="26"/>
      <c r="AJ122" s="26"/>
      <c r="AK122" s="26"/>
      <c r="AL122" s="26"/>
      <c r="AM122" s="26"/>
      <c r="AN122" s="26"/>
      <c r="AO122" s="26" t="s">
        <v>279</v>
      </c>
      <c r="AP122" s="26" t="s">
        <v>279</v>
      </c>
      <c r="AQ122" s="26" t="s">
        <v>212</v>
      </c>
      <c r="AR122" s="26" t="s">
        <v>276</v>
      </c>
      <c r="AS122" s="26">
        <v>4</v>
      </c>
      <c r="AT122" s="26">
        <v>4</v>
      </c>
      <c r="AU122" s="26" t="s">
        <v>169</v>
      </c>
      <c r="AY122" s="64"/>
      <c r="BD122" s="22">
        <v>88000</v>
      </c>
      <c r="BE122" s="22">
        <v>77800</v>
      </c>
      <c r="EJ122" s="12"/>
      <c r="EL122" s="15"/>
      <c r="FN122" s="26"/>
      <c r="FO122" s="26"/>
      <c r="FP122" s="26"/>
      <c r="FQ122" s="26"/>
      <c r="FT122" s="26">
        <v>11</v>
      </c>
    </row>
    <row r="123" spans="1:176" s="22" customFormat="1" x14ac:dyDescent="0.25">
      <c r="A123" s="26">
        <v>11</v>
      </c>
      <c r="B123" s="26" t="s">
        <v>274</v>
      </c>
      <c r="C123" s="26" t="s">
        <v>275</v>
      </c>
      <c r="D123" s="26">
        <v>2010</v>
      </c>
      <c r="E123" s="26">
        <v>2007</v>
      </c>
      <c r="F123" s="26" t="s">
        <v>155</v>
      </c>
      <c r="G123" s="26" t="s">
        <v>277</v>
      </c>
      <c r="H123" s="26">
        <v>39.03</v>
      </c>
      <c r="I123" s="26">
        <v>-76.91</v>
      </c>
      <c r="J123" s="26">
        <v>34.6</v>
      </c>
      <c r="K123" s="26"/>
      <c r="L123" s="26"/>
      <c r="M123" s="26"/>
      <c r="N123" s="26"/>
      <c r="O123" s="26"/>
      <c r="P123" s="52">
        <v>3</v>
      </c>
      <c r="Q123" s="52"/>
      <c r="R123" s="52" t="s">
        <v>265</v>
      </c>
      <c r="S123" s="52" t="s">
        <v>1558</v>
      </c>
      <c r="T123" s="52" t="s">
        <v>1558</v>
      </c>
      <c r="U123" s="52" t="s">
        <v>1558</v>
      </c>
      <c r="V123" s="52" t="s">
        <v>1905</v>
      </c>
      <c r="W123" s="26"/>
      <c r="X123" s="26">
        <f t="shared" si="8"/>
        <v>73</v>
      </c>
      <c r="Y123" s="26">
        <f t="shared" si="9"/>
        <v>17</v>
      </c>
      <c r="Z123" s="26" t="s">
        <v>278</v>
      </c>
      <c r="AA123" s="26"/>
      <c r="AB123" s="26"/>
      <c r="AC123" s="26"/>
      <c r="AD123" s="26" t="s">
        <v>1477</v>
      </c>
      <c r="AE123" s="26" t="s">
        <v>1703</v>
      </c>
      <c r="AF123" s="152" t="s">
        <v>159</v>
      </c>
      <c r="AG123" s="26" t="s">
        <v>280</v>
      </c>
      <c r="AH123" s="154" t="s">
        <v>1797</v>
      </c>
      <c r="AI123" s="26"/>
      <c r="AJ123" s="26"/>
      <c r="AK123" s="26"/>
      <c r="AL123" s="26"/>
      <c r="AM123" s="26"/>
      <c r="AN123" s="26"/>
      <c r="AO123" s="26" t="s">
        <v>279</v>
      </c>
      <c r="AP123" s="26" t="s">
        <v>279</v>
      </c>
      <c r="AQ123" s="26" t="s">
        <v>212</v>
      </c>
      <c r="AR123" s="26" t="s">
        <v>276</v>
      </c>
      <c r="AS123" s="26">
        <v>4</v>
      </c>
      <c r="AT123" s="26">
        <v>4</v>
      </c>
      <c r="AU123" s="26" t="s">
        <v>169</v>
      </c>
      <c r="AY123" s="64"/>
      <c r="BD123" s="22">
        <v>88000</v>
      </c>
      <c r="BE123" s="22">
        <v>65600</v>
      </c>
      <c r="EJ123" s="12"/>
      <c r="EL123" s="15"/>
      <c r="FN123" s="26"/>
      <c r="FO123" s="26"/>
      <c r="FP123" s="26"/>
      <c r="FQ123" s="26"/>
      <c r="FT123" s="26">
        <v>11</v>
      </c>
    </row>
    <row r="124" spans="1:176" s="22" customFormat="1" x14ac:dyDescent="0.25">
      <c r="A124" s="26">
        <v>11</v>
      </c>
      <c r="B124" s="26" t="s">
        <v>274</v>
      </c>
      <c r="C124" s="26" t="s">
        <v>275</v>
      </c>
      <c r="D124" s="26">
        <v>2010</v>
      </c>
      <c r="E124" s="26">
        <v>2007</v>
      </c>
      <c r="F124" s="26" t="s">
        <v>155</v>
      </c>
      <c r="G124" s="26" t="s">
        <v>277</v>
      </c>
      <c r="H124" s="26">
        <v>39.03</v>
      </c>
      <c r="I124" s="26">
        <v>-76.91</v>
      </c>
      <c r="J124" s="26">
        <v>34.6</v>
      </c>
      <c r="K124" s="26"/>
      <c r="L124" s="26"/>
      <c r="M124" s="26"/>
      <c r="N124" s="26"/>
      <c r="O124" s="26"/>
      <c r="P124" s="52">
        <v>3</v>
      </c>
      <c r="Q124" s="52"/>
      <c r="R124" s="52" t="s">
        <v>265</v>
      </c>
      <c r="S124" s="52" t="s">
        <v>1558</v>
      </c>
      <c r="T124" s="52" t="s">
        <v>1558</v>
      </c>
      <c r="U124" s="52" t="s">
        <v>1558</v>
      </c>
      <c r="V124" s="52" t="s">
        <v>1905</v>
      </c>
      <c r="W124" s="26"/>
      <c r="X124" s="26">
        <f t="shared" si="8"/>
        <v>73</v>
      </c>
      <c r="Y124" s="26">
        <f t="shared" si="9"/>
        <v>17</v>
      </c>
      <c r="Z124" s="26" t="s">
        <v>278</v>
      </c>
      <c r="AA124" s="26"/>
      <c r="AB124" s="26"/>
      <c r="AC124" s="26"/>
      <c r="AD124" s="26" t="s">
        <v>1477</v>
      </c>
      <c r="AE124" s="26" t="s">
        <v>1704</v>
      </c>
      <c r="AF124" s="152" t="s">
        <v>159</v>
      </c>
      <c r="AG124" s="26" t="s">
        <v>280</v>
      </c>
      <c r="AH124" s="154" t="s">
        <v>1797</v>
      </c>
      <c r="AI124" s="26"/>
      <c r="AJ124" s="26"/>
      <c r="AK124" s="26"/>
      <c r="AL124" s="26"/>
      <c r="AM124" s="26"/>
      <c r="AN124" s="26"/>
      <c r="AO124" s="26" t="s">
        <v>279</v>
      </c>
      <c r="AP124" s="26" t="s">
        <v>279</v>
      </c>
      <c r="AQ124" s="26" t="s">
        <v>212</v>
      </c>
      <c r="AR124" s="26" t="s">
        <v>276</v>
      </c>
      <c r="AS124" s="26">
        <v>4</v>
      </c>
      <c r="AT124" s="26">
        <v>4</v>
      </c>
      <c r="AU124" s="26" t="s">
        <v>169</v>
      </c>
      <c r="AY124" s="64"/>
      <c r="BD124" s="22">
        <v>88000</v>
      </c>
      <c r="BE124" s="22">
        <v>82000</v>
      </c>
      <c r="EJ124" s="12"/>
      <c r="EL124" s="15"/>
      <c r="FN124" s="26"/>
      <c r="FO124" s="26"/>
      <c r="FP124" s="26"/>
      <c r="FQ124" s="26"/>
      <c r="FT124" s="26">
        <v>11</v>
      </c>
    </row>
    <row r="125" spans="1:176" s="22" customFormat="1" x14ac:dyDescent="0.25">
      <c r="A125" s="26">
        <v>11</v>
      </c>
      <c r="B125" s="26" t="s">
        <v>274</v>
      </c>
      <c r="C125" s="26" t="s">
        <v>275</v>
      </c>
      <c r="D125" s="26">
        <v>2010</v>
      </c>
      <c r="E125" s="26">
        <v>2007</v>
      </c>
      <c r="F125" s="26" t="s">
        <v>155</v>
      </c>
      <c r="G125" s="26" t="s">
        <v>277</v>
      </c>
      <c r="H125" s="26">
        <v>39.03</v>
      </c>
      <c r="I125" s="26">
        <v>-76.91</v>
      </c>
      <c r="J125" s="26">
        <v>34.6</v>
      </c>
      <c r="K125" s="26"/>
      <c r="L125" s="26"/>
      <c r="M125" s="26"/>
      <c r="N125" s="26"/>
      <c r="O125" s="26"/>
      <c r="P125" s="52">
        <v>3</v>
      </c>
      <c r="Q125" s="52"/>
      <c r="R125" s="52" t="s">
        <v>265</v>
      </c>
      <c r="S125" s="52" t="s">
        <v>1558</v>
      </c>
      <c r="T125" s="52" t="s">
        <v>1558</v>
      </c>
      <c r="U125" s="52" t="s">
        <v>1558</v>
      </c>
      <c r="V125" s="52" t="s">
        <v>1905</v>
      </c>
      <c r="W125" s="26"/>
      <c r="X125" s="26">
        <f t="shared" si="8"/>
        <v>73</v>
      </c>
      <c r="Y125" s="26">
        <f t="shared" si="9"/>
        <v>17</v>
      </c>
      <c r="Z125" s="26" t="s">
        <v>278</v>
      </c>
      <c r="AA125" s="26"/>
      <c r="AB125" s="26"/>
      <c r="AC125" s="26"/>
      <c r="AD125" s="26" t="s">
        <v>1477</v>
      </c>
      <c r="AE125" s="26" t="s">
        <v>281</v>
      </c>
      <c r="AF125" s="152" t="s">
        <v>666</v>
      </c>
      <c r="AG125" s="26" t="s">
        <v>280</v>
      </c>
      <c r="AH125" s="154" t="s">
        <v>1797</v>
      </c>
      <c r="AI125" s="26"/>
      <c r="AJ125" s="26"/>
      <c r="AK125" s="26"/>
      <c r="AL125" s="26"/>
      <c r="AM125" s="26"/>
      <c r="AN125" s="26"/>
      <c r="AO125" s="26" t="s">
        <v>279</v>
      </c>
      <c r="AP125" s="26" t="s">
        <v>279</v>
      </c>
      <c r="AQ125" s="26" t="s">
        <v>212</v>
      </c>
      <c r="AR125" s="26" t="s">
        <v>276</v>
      </c>
      <c r="AS125" s="26">
        <v>4</v>
      </c>
      <c r="AT125" s="26">
        <v>4</v>
      </c>
      <c r="AU125" s="26" t="s">
        <v>169</v>
      </c>
      <c r="AY125" s="64"/>
      <c r="BD125" s="22">
        <v>88000</v>
      </c>
      <c r="BE125" s="22">
        <v>92200</v>
      </c>
      <c r="EJ125" s="12"/>
      <c r="EL125" s="15"/>
      <c r="FN125" s="26"/>
      <c r="FO125" s="26"/>
      <c r="FP125" s="26"/>
      <c r="FQ125" s="26"/>
      <c r="FT125" s="26">
        <v>11</v>
      </c>
    </row>
    <row r="126" spans="1:176" s="22" customFormat="1" x14ac:dyDescent="0.25">
      <c r="A126" s="26">
        <v>11</v>
      </c>
      <c r="B126" s="26" t="s">
        <v>274</v>
      </c>
      <c r="C126" s="26" t="s">
        <v>275</v>
      </c>
      <c r="D126" s="26">
        <v>2010</v>
      </c>
      <c r="E126" s="26">
        <v>2007</v>
      </c>
      <c r="F126" s="26" t="s">
        <v>155</v>
      </c>
      <c r="G126" s="26" t="s">
        <v>277</v>
      </c>
      <c r="H126" s="26">
        <v>39.03</v>
      </c>
      <c r="I126" s="26">
        <v>-76.91</v>
      </c>
      <c r="J126" s="26">
        <v>34.6</v>
      </c>
      <c r="K126" s="26"/>
      <c r="L126" s="26"/>
      <c r="M126" s="26"/>
      <c r="N126" s="26"/>
      <c r="O126" s="26"/>
      <c r="P126" s="52">
        <v>3</v>
      </c>
      <c r="Q126" s="52"/>
      <c r="R126" s="52" t="s">
        <v>265</v>
      </c>
      <c r="S126" s="52" t="s">
        <v>1558</v>
      </c>
      <c r="T126" s="52" t="s">
        <v>1558</v>
      </c>
      <c r="U126" s="52" t="s">
        <v>1558</v>
      </c>
      <c r="V126" s="52" t="s">
        <v>1905</v>
      </c>
      <c r="W126" s="26"/>
      <c r="X126" s="26">
        <f t="shared" si="8"/>
        <v>73</v>
      </c>
      <c r="Y126" s="26">
        <f t="shared" si="9"/>
        <v>17</v>
      </c>
      <c r="Z126" s="26" t="s">
        <v>278</v>
      </c>
      <c r="AA126" s="26"/>
      <c r="AB126" s="26"/>
      <c r="AC126" s="26"/>
      <c r="AD126" s="26" t="s">
        <v>1477</v>
      </c>
      <c r="AE126" s="26" t="s">
        <v>1705</v>
      </c>
      <c r="AF126" s="152" t="s">
        <v>666</v>
      </c>
      <c r="AG126" s="26" t="s">
        <v>280</v>
      </c>
      <c r="AH126" s="154" t="s">
        <v>1797</v>
      </c>
      <c r="AI126" s="26"/>
      <c r="AJ126" s="26"/>
      <c r="AK126" s="26"/>
      <c r="AL126" s="26"/>
      <c r="AM126" s="26"/>
      <c r="AN126" s="26"/>
      <c r="AO126" s="26" t="s">
        <v>279</v>
      </c>
      <c r="AP126" s="26" t="s">
        <v>279</v>
      </c>
      <c r="AQ126" s="26" t="s">
        <v>212</v>
      </c>
      <c r="AR126" s="26" t="s">
        <v>276</v>
      </c>
      <c r="AS126" s="26">
        <v>4</v>
      </c>
      <c r="AT126" s="26">
        <v>4</v>
      </c>
      <c r="AU126" s="26" t="s">
        <v>169</v>
      </c>
      <c r="AY126" s="64"/>
      <c r="BD126" s="22">
        <v>88000</v>
      </c>
      <c r="BE126" s="22">
        <v>80200</v>
      </c>
      <c r="EJ126" s="12"/>
      <c r="EL126" s="15"/>
      <c r="FN126" s="26"/>
      <c r="FO126" s="26"/>
      <c r="FP126" s="26"/>
      <c r="FQ126" s="26"/>
      <c r="FT126" s="26">
        <v>11</v>
      </c>
    </row>
    <row r="127" spans="1:176" s="22" customFormat="1" x14ac:dyDescent="0.25">
      <c r="A127" s="26">
        <v>11</v>
      </c>
      <c r="B127" s="26" t="s">
        <v>274</v>
      </c>
      <c r="C127" s="26" t="s">
        <v>275</v>
      </c>
      <c r="D127" s="26">
        <v>2010</v>
      </c>
      <c r="E127" s="26">
        <v>2007</v>
      </c>
      <c r="F127" s="26" t="s">
        <v>155</v>
      </c>
      <c r="G127" s="26" t="s">
        <v>277</v>
      </c>
      <c r="H127" s="26">
        <v>39.03</v>
      </c>
      <c r="I127" s="26">
        <v>-76.91</v>
      </c>
      <c r="J127" s="26">
        <v>34.6</v>
      </c>
      <c r="K127" s="26"/>
      <c r="L127" s="26"/>
      <c r="M127" s="26"/>
      <c r="N127" s="26"/>
      <c r="O127" s="26"/>
      <c r="P127" s="52">
        <v>3</v>
      </c>
      <c r="Q127" s="52"/>
      <c r="R127" s="52" t="s">
        <v>265</v>
      </c>
      <c r="S127" s="52" t="s">
        <v>1558</v>
      </c>
      <c r="T127" s="52" t="s">
        <v>1558</v>
      </c>
      <c r="U127" s="52" t="s">
        <v>1558</v>
      </c>
      <c r="V127" s="52" t="s">
        <v>1905</v>
      </c>
      <c r="W127" s="26"/>
      <c r="X127" s="26">
        <f t="shared" si="8"/>
        <v>73</v>
      </c>
      <c r="Y127" s="26">
        <f t="shared" si="9"/>
        <v>17</v>
      </c>
      <c r="Z127" s="26" t="s">
        <v>278</v>
      </c>
      <c r="AA127" s="26"/>
      <c r="AB127" s="26"/>
      <c r="AC127" s="26"/>
      <c r="AD127" s="26" t="s">
        <v>1477</v>
      </c>
      <c r="AE127" s="26" t="s">
        <v>1706</v>
      </c>
      <c r="AF127" s="152" t="s">
        <v>666</v>
      </c>
      <c r="AG127" s="26" t="s">
        <v>280</v>
      </c>
      <c r="AH127" s="154" t="s">
        <v>1797</v>
      </c>
      <c r="AI127" s="26"/>
      <c r="AJ127" s="26"/>
      <c r="AK127" s="26"/>
      <c r="AL127" s="26"/>
      <c r="AM127" s="26"/>
      <c r="AN127" s="26"/>
      <c r="AO127" s="26" t="s">
        <v>279</v>
      </c>
      <c r="AP127" s="26" t="s">
        <v>279</v>
      </c>
      <c r="AQ127" s="26" t="s">
        <v>212</v>
      </c>
      <c r="AR127" s="26" t="s">
        <v>276</v>
      </c>
      <c r="AS127" s="26">
        <v>4</v>
      </c>
      <c r="AT127" s="26">
        <v>4</v>
      </c>
      <c r="AU127" s="26" t="s">
        <v>169</v>
      </c>
      <c r="AY127" s="64"/>
      <c r="BD127" s="22">
        <v>88000</v>
      </c>
      <c r="BE127" s="22">
        <v>93000</v>
      </c>
      <c r="EJ127" s="12"/>
      <c r="EL127" s="15"/>
      <c r="FN127" s="26"/>
      <c r="FO127" s="26"/>
      <c r="FP127" s="26"/>
      <c r="FQ127" s="26"/>
      <c r="FT127" s="26">
        <v>11</v>
      </c>
    </row>
    <row r="128" spans="1:176" s="31" customFormat="1" x14ac:dyDescent="0.25">
      <c r="A128" s="31">
        <v>12</v>
      </c>
      <c r="B128" s="31" t="s">
        <v>303</v>
      </c>
      <c r="C128" s="31" t="s">
        <v>304</v>
      </c>
      <c r="D128" s="31">
        <v>1984</v>
      </c>
      <c r="E128" s="31">
        <v>1980</v>
      </c>
      <c r="F128" s="31" t="s">
        <v>305</v>
      </c>
      <c r="G128" s="31" t="s">
        <v>311</v>
      </c>
      <c r="H128" s="31">
        <v>34.36</v>
      </c>
      <c r="I128" s="31">
        <v>-80.010000000000005</v>
      </c>
      <c r="J128" s="31">
        <v>61.3</v>
      </c>
      <c r="P128" s="56">
        <v>2</v>
      </c>
      <c r="Q128" s="56"/>
      <c r="R128" s="56"/>
      <c r="S128" s="56" t="s">
        <v>1558</v>
      </c>
      <c r="T128" s="56" t="s">
        <v>1558</v>
      </c>
      <c r="U128" s="56" t="s">
        <v>1558</v>
      </c>
      <c r="V128" s="56" t="s">
        <v>1905</v>
      </c>
      <c r="Z128" s="31" t="s">
        <v>210</v>
      </c>
      <c r="AD128" s="31" t="s">
        <v>1478</v>
      </c>
      <c r="AE128" s="31" t="s">
        <v>159</v>
      </c>
      <c r="AF128" s="152" t="s">
        <v>159</v>
      </c>
      <c r="AG128" s="31" t="s">
        <v>1776</v>
      </c>
      <c r="AH128" s="155" t="s">
        <v>190</v>
      </c>
      <c r="AL128" s="31" t="s">
        <v>269</v>
      </c>
      <c r="AM128" s="31" t="s">
        <v>306</v>
      </c>
      <c r="AN128" s="31" t="s">
        <v>587</v>
      </c>
      <c r="AO128" s="31" t="s">
        <v>279</v>
      </c>
      <c r="AP128" s="31" t="s">
        <v>279</v>
      </c>
      <c r="AQ128" s="31" t="s">
        <v>212</v>
      </c>
      <c r="AS128" s="31">
        <v>3</v>
      </c>
      <c r="AT128" s="31">
        <v>3</v>
      </c>
      <c r="AU128" s="31" t="s">
        <v>209</v>
      </c>
      <c r="AY128" s="64"/>
      <c r="BD128" s="31">
        <f>0.85*1000</f>
        <v>850</v>
      </c>
      <c r="BE128" s="31">
        <f>0.94*1000</f>
        <v>940</v>
      </c>
      <c r="BF128" s="31" t="s">
        <v>307</v>
      </c>
      <c r="DI128" s="31">
        <f>12.35/100</f>
        <v>0.1235</v>
      </c>
      <c r="DJ128" s="31">
        <f>4.74/100</f>
        <v>4.7400000000000005E-2</v>
      </c>
      <c r="EJ128" s="12"/>
      <c r="EL128" s="15"/>
      <c r="FR128" s="31" t="s">
        <v>309</v>
      </c>
      <c r="FT128" s="31">
        <v>12</v>
      </c>
    </row>
    <row r="129" spans="1:176" s="31" customFormat="1" x14ac:dyDescent="0.25">
      <c r="A129" s="31">
        <v>12</v>
      </c>
      <c r="B129" s="31" t="s">
        <v>303</v>
      </c>
      <c r="C129" s="31" t="s">
        <v>304</v>
      </c>
      <c r="D129" s="31">
        <v>1984</v>
      </c>
      <c r="E129" s="31">
        <v>1980</v>
      </c>
      <c r="F129" s="31" t="s">
        <v>305</v>
      </c>
      <c r="G129" s="31" t="s">
        <v>311</v>
      </c>
      <c r="H129" s="31">
        <v>34.36</v>
      </c>
      <c r="I129" s="31">
        <v>-80.010000000000005</v>
      </c>
      <c r="J129" s="31">
        <v>61.3</v>
      </c>
      <c r="P129" s="56">
        <v>2</v>
      </c>
      <c r="Q129" s="56"/>
      <c r="R129" s="56"/>
      <c r="S129" s="56" t="s">
        <v>1558</v>
      </c>
      <c r="T129" s="56" t="s">
        <v>1558</v>
      </c>
      <c r="U129" s="56" t="s">
        <v>1558</v>
      </c>
      <c r="V129" s="56" t="s">
        <v>1905</v>
      </c>
      <c r="Z129" s="31" t="s">
        <v>210</v>
      </c>
      <c r="AD129" s="31" t="s">
        <v>1478</v>
      </c>
      <c r="AE129" s="31" t="s">
        <v>159</v>
      </c>
      <c r="AF129" s="152" t="s">
        <v>159</v>
      </c>
      <c r="AG129" s="31" t="s">
        <v>1777</v>
      </c>
      <c r="AH129" s="155" t="s">
        <v>190</v>
      </c>
      <c r="AL129" s="31" t="s">
        <v>269</v>
      </c>
      <c r="AM129" s="31" t="s">
        <v>306</v>
      </c>
      <c r="AN129" s="31" t="s">
        <v>587</v>
      </c>
      <c r="AO129" s="31" t="s">
        <v>279</v>
      </c>
      <c r="AP129" s="31" t="s">
        <v>279</v>
      </c>
      <c r="AQ129" s="31" t="s">
        <v>212</v>
      </c>
      <c r="AS129" s="31">
        <v>3</v>
      </c>
      <c r="AT129" s="31">
        <v>3</v>
      </c>
      <c r="AU129" s="31" t="s">
        <v>209</v>
      </c>
      <c r="AY129" s="64"/>
      <c r="BD129" s="31">
        <f>1.03*1000</f>
        <v>1030</v>
      </c>
      <c r="BE129" s="31">
        <f>0.99*1000</f>
        <v>990</v>
      </c>
      <c r="BF129" s="31" t="s">
        <v>307</v>
      </c>
      <c r="EJ129" s="12"/>
      <c r="EL129" s="15"/>
      <c r="FR129" s="31" t="s">
        <v>309</v>
      </c>
      <c r="FT129" s="31">
        <v>12</v>
      </c>
    </row>
    <row r="130" spans="1:176" s="31" customFormat="1" x14ac:dyDescent="0.25">
      <c r="A130" s="31">
        <v>12</v>
      </c>
      <c r="B130" s="31" t="s">
        <v>303</v>
      </c>
      <c r="C130" s="31" t="s">
        <v>304</v>
      </c>
      <c r="D130" s="31">
        <v>1984</v>
      </c>
      <c r="E130" s="31">
        <v>1980</v>
      </c>
      <c r="F130" s="31" t="s">
        <v>305</v>
      </c>
      <c r="G130" s="31" t="s">
        <v>311</v>
      </c>
      <c r="H130" s="31">
        <v>34.36</v>
      </c>
      <c r="I130" s="31">
        <v>-80.010000000000005</v>
      </c>
      <c r="J130" s="31">
        <v>61.3</v>
      </c>
      <c r="P130" s="56">
        <v>2</v>
      </c>
      <c r="Q130" s="56"/>
      <c r="R130" s="56"/>
      <c r="S130" s="56" t="s">
        <v>1558</v>
      </c>
      <c r="T130" s="56" t="s">
        <v>1558</v>
      </c>
      <c r="U130" s="56" t="s">
        <v>1558</v>
      </c>
      <c r="V130" s="56" t="s">
        <v>1905</v>
      </c>
      <c r="Z130" s="31" t="s">
        <v>210</v>
      </c>
      <c r="AD130" s="31" t="s">
        <v>1478</v>
      </c>
      <c r="AE130" s="31" t="s">
        <v>159</v>
      </c>
      <c r="AF130" s="152" t="s">
        <v>159</v>
      </c>
      <c r="AG130" s="31" t="s">
        <v>1778</v>
      </c>
      <c r="AH130" s="155" t="s">
        <v>190</v>
      </c>
      <c r="AL130" s="31" t="s">
        <v>269</v>
      </c>
      <c r="AM130" s="31" t="s">
        <v>306</v>
      </c>
      <c r="AN130" s="31" t="s">
        <v>587</v>
      </c>
      <c r="AO130" s="31" t="s">
        <v>279</v>
      </c>
      <c r="AP130" s="31" t="s">
        <v>279</v>
      </c>
      <c r="AQ130" s="31" t="s">
        <v>212</v>
      </c>
      <c r="AS130" s="31">
        <v>3</v>
      </c>
      <c r="AT130" s="31">
        <v>3</v>
      </c>
      <c r="AU130" s="31" t="s">
        <v>209</v>
      </c>
      <c r="AY130" s="64"/>
      <c r="BD130" s="31">
        <f>1.08*1000</f>
        <v>1080</v>
      </c>
      <c r="BE130" s="31">
        <f>1.19*1000</f>
        <v>1190</v>
      </c>
      <c r="BF130" s="31" t="s">
        <v>307</v>
      </c>
      <c r="EJ130" s="12"/>
      <c r="EL130" s="15"/>
      <c r="FR130" s="31" t="s">
        <v>309</v>
      </c>
      <c r="FT130" s="31">
        <v>12</v>
      </c>
    </row>
    <row r="131" spans="1:176" s="31" customFormat="1" x14ac:dyDescent="0.25">
      <c r="A131" s="31">
        <v>12</v>
      </c>
      <c r="B131" s="31" t="s">
        <v>303</v>
      </c>
      <c r="C131" s="31" t="s">
        <v>304</v>
      </c>
      <c r="D131" s="31">
        <v>1984</v>
      </c>
      <c r="E131" s="31">
        <v>1980</v>
      </c>
      <c r="F131" s="31" t="s">
        <v>305</v>
      </c>
      <c r="G131" s="31" t="s">
        <v>311</v>
      </c>
      <c r="H131" s="31">
        <v>34.36</v>
      </c>
      <c r="I131" s="31">
        <v>-80.010000000000005</v>
      </c>
      <c r="J131" s="31">
        <v>61.3</v>
      </c>
      <c r="P131" s="56">
        <v>2</v>
      </c>
      <c r="Q131" s="56"/>
      <c r="R131" s="56"/>
      <c r="S131" s="56" t="s">
        <v>1558</v>
      </c>
      <c r="T131" s="56" t="s">
        <v>1558</v>
      </c>
      <c r="U131" s="56" t="s">
        <v>1558</v>
      </c>
      <c r="V131" s="56" t="s">
        <v>1905</v>
      </c>
      <c r="Z131" s="31" t="s">
        <v>210</v>
      </c>
      <c r="AD131" s="31" t="s">
        <v>1478</v>
      </c>
      <c r="AE131" s="31" t="s">
        <v>159</v>
      </c>
      <c r="AF131" s="152" t="s">
        <v>159</v>
      </c>
      <c r="AG131" s="31" t="s">
        <v>1776</v>
      </c>
      <c r="AH131" s="155" t="s">
        <v>190</v>
      </c>
      <c r="AL131" s="31" t="s">
        <v>269</v>
      </c>
      <c r="AM131" s="31" t="s">
        <v>306</v>
      </c>
      <c r="AN131" s="31" t="s">
        <v>587</v>
      </c>
      <c r="AO131" s="31" t="s">
        <v>279</v>
      </c>
      <c r="AP131" s="31" t="s">
        <v>279</v>
      </c>
      <c r="AQ131" s="31" t="s">
        <v>212</v>
      </c>
      <c r="AS131" s="31">
        <v>3</v>
      </c>
      <c r="AT131" s="31">
        <v>3</v>
      </c>
      <c r="AU131" s="31" t="s">
        <v>209</v>
      </c>
      <c r="AY131" s="64"/>
      <c r="BD131" s="31">
        <f>0.96*1000</f>
        <v>960</v>
      </c>
      <c r="BE131" s="31">
        <f>0.84*1000</f>
        <v>840</v>
      </c>
      <c r="BF131" s="31" t="s">
        <v>308</v>
      </c>
      <c r="EJ131" s="12"/>
      <c r="EL131" s="15"/>
      <c r="FR131" s="31" t="s">
        <v>309</v>
      </c>
      <c r="FT131" s="31">
        <v>12</v>
      </c>
    </row>
    <row r="132" spans="1:176" s="31" customFormat="1" x14ac:dyDescent="0.25">
      <c r="A132" s="31">
        <v>12</v>
      </c>
      <c r="B132" s="31" t="s">
        <v>303</v>
      </c>
      <c r="C132" s="31" t="s">
        <v>304</v>
      </c>
      <c r="D132" s="31">
        <v>1984</v>
      </c>
      <c r="E132" s="31">
        <v>1980</v>
      </c>
      <c r="F132" s="31" t="s">
        <v>305</v>
      </c>
      <c r="G132" s="31" t="s">
        <v>311</v>
      </c>
      <c r="H132" s="31">
        <v>34.36</v>
      </c>
      <c r="I132" s="31">
        <v>-80.010000000000005</v>
      </c>
      <c r="J132" s="31">
        <v>61.3</v>
      </c>
      <c r="P132" s="56">
        <v>2</v>
      </c>
      <c r="Q132" s="56"/>
      <c r="R132" s="56"/>
      <c r="S132" s="56" t="s">
        <v>1558</v>
      </c>
      <c r="T132" s="56" t="s">
        <v>1558</v>
      </c>
      <c r="U132" s="56" t="s">
        <v>1558</v>
      </c>
      <c r="V132" s="56" t="s">
        <v>1905</v>
      </c>
      <c r="Z132" s="31" t="s">
        <v>210</v>
      </c>
      <c r="AD132" s="31" t="s">
        <v>1478</v>
      </c>
      <c r="AE132" s="31" t="s">
        <v>159</v>
      </c>
      <c r="AF132" s="152" t="s">
        <v>159</v>
      </c>
      <c r="AG132" s="31" t="s">
        <v>1777</v>
      </c>
      <c r="AH132" s="155" t="s">
        <v>190</v>
      </c>
      <c r="AL132" s="31" t="s">
        <v>269</v>
      </c>
      <c r="AM132" s="31" t="s">
        <v>306</v>
      </c>
      <c r="AN132" s="31" t="s">
        <v>587</v>
      </c>
      <c r="AO132" s="31" t="s">
        <v>279</v>
      </c>
      <c r="AP132" s="31" t="s">
        <v>279</v>
      </c>
      <c r="AQ132" s="31" t="s">
        <v>212</v>
      </c>
      <c r="AS132" s="31">
        <v>3</v>
      </c>
      <c r="AT132" s="31">
        <v>3</v>
      </c>
      <c r="AU132" s="31" t="s">
        <v>209</v>
      </c>
      <c r="AY132" s="64"/>
      <c r="BD132" s="31">
        <f>0.93*1000</f>
        <v>930</v>
      </c>
      <c r="BE132" s="31">
        <f>0.87*1000</f>
        <v>870</v>
      </c>
      <c r="BF132" s="31" t="s">
        <v>308</v>
      </c>
      <c r="EJ132" s="12"/>
      <c r="EL132" s="15"/>
      <c r="FR132" s="31" t="s">
        <v>309</v>
      </c>
      <c r="FT132" s="31">
        <v>12</v>
      </c>
    </row>
    <row r="133" spans="1:176" s="31" customFormat="1" x14ac:dyDescent="0.25">
      <c r="A133" s="31">
        <v>12</v>
      </c>
      <c r="B133" s="31" t="s">
        <v>303</v>
      </c>
      <c r="C133" s="31" t="s">
        <v>304</v>
      </c>
      <c r="D133" s="31">
        <v>1984</v>
      </c>
      <c r="E133" s="31">
        <v>1980</v>
      </c>
      <c r="F133" s="31" t="s">
        <v>305</v>
      </c>
      <c r="G133" s="31" t="s">
        <v>311</v>
      </c>
      <c r="H133" s="31">
        <v>34.36</v>
      </c>
      <c r="I133" s="31">
        <v>-80.010000000000005</v>
      </c>
      <c r="J133" s="31">
        <v>61.3</v>
      </c>
      <c r="P133" s="56">
        <v>2</v>
      </c>
      <c r="Q133" s="56"/>
      <c r="R133" s="56"/>
      <c r="S133" s="56" t="s">
        <v>1558</v>
      </c>
      <c r="T133" s="56" t="s">
        <v>1558</v>
      </c>
      <c r="U133" s="56" t="s">
        <v>1558</v>
      </c>
      <c r="V133" s="56" t="s">
        <v>1905</v>
      </c>
      <c r="Z133" s="31" t="s">
        <v>210</v>
      </c>
      <c r="AD133" s="31" t="s">
        <v>1478</v>
      </c>
      <c r="AE133" s="31" t="s">
        <v>159</v>
      </c>
      <c r="AF133" s="152" t="s">
        <v>159</v>
      </c>
      <c r="AG133" s="31" t="s">
        <v>1778</v>
      </c>
      <c r="AH133" s="155" t="s">
        <v>190</v>
      </c>
      <c r="AL133" s="31" t="s">
        <v>269</v>
      </c>
      <c r="AM133" s="31" t="s">
        <v>306</v>
      </c>
      <c r="AN133" s="31" t="s">
        <v>587</v>
      </c>
      <c r="AO133" s="31" t="s">
        <v>279</v>
      </c>
      <c r="AP133" s="31" t="s">
        <v>279</v>
      </c>
      <c r="AQ133" s="31" t="s">
        <v>212</v>
      </c>
      <c r="AS133" s="31">
        <v>3</v>
      </c>
      <c r="AT133" s="31">
        <v>3</v>
      </c>
      <c r="AU133" s="31" t="s">
        <v>209</v>
      </c>
      <c r="AY133" s="64"/>
      <c r="BD133" s="31">
        <f>1.01*1000</f>
        <v>1010</v>
      </c>
      <c r="BE133" s="31">
        <f>0.89*1000</f>
        <v>890</v>
      </c>
      <c r="BF133" s="31" t="s">
        <v>308</v>
      </c>
      <c r="EJ133" s="12"/>
      <c r="EL133" s="15"/>
      <c r="FR133" s="31" t="s">
        <v>309</v>
      </c>
      <c r="FT133" s="31">
        <v>12</v>
      </c>
    </row>
    <row r="134" spans="1:176" s="31" customFormat="1" x14ac:dyDescent="0.25">
      <c r="A134" s="31">
        <v>12</v>
      </c>
      <c r="B134" s="31" t="s">
        <v>303</v>
      </c>
      <c r="C134" s="31" t="s">
        <v>304</v>
      </c>
      <c r="D134" s="31">
        <v>1984</v>
      </c>
      <c r="E134" s="31">
        <v>1980</v>
      </c>
      <c r="F134" s="31" t="s">
        <v>305</v>
      </c>
      <c r="G134" s="31" t="s">
        <v>311</v>
      </c>
      <c r="H134" s="31">
        <v>34.36</v>
      </c>
      <c r="I134" s="31">
        <v>-80.010000000000005</v>
      </c>
      <c r="J134" s="31">
        <v>61.3</v>
      </c>
      <c r="P134" s="56">
        <v>2</v>
      </c>
      <c r="Q134" s="56"/>
      <c r="R134" s="56"/>
      <c r="S134" s="56" t="s">
        <v>1558</v>
      </c>
      <c r="T134" s="56" t="s">
        <v>1558</v>
      </c>
      <c r="U134" s="56" t="s">
        <v>1558</v>
      </c>
      <c r="V134" s="56" t="s">
        <v>1905</v>
      </c>
      <c r="Z134" s="31" t="s">
        <v>210</v>
      </c>
      <c r="AD134" s="31" t="s">
        <v>1478</v>
      </c>
      <c r="AE134" s="31" t="s">
        <v>159</v>
      </c>
      <c r="AF134" s="152" t="s">
        <v>159</v>
      </c>
      <c r="AG134" s="31" t="s">
        <v>1776</v>
      </c>
      <c r="AH134" s="155" t="s">
        <v>190</v>
      </c>
      <c r="AL134" s="31" t="s">
        <v>269</v>
      </c>
      <c r="AM134" s="31" t="s">
        <v>306</v>
      </c>
      <c r="AN134" s="31" t="s">
        <v>587</v>
      </c>
      <c r="AO134" s="31" t="s">
        <v>279</v>
      </c>
      <c r="AP134" s="31" t="s">
        <v>279</v>
      </c>
      <c r="AQ134" s="31" t="s">
        <v>212</v>
      </c>
      <c r="AS134" s="31">
        <v>3</v>
      </c>
      <c r="AT134" s="31">
        <v>3</v>
      </c>
      <c r="AU134" s="31" t="s">
        <v>209</v>
      </c>
      <c r="AY134" s="64"/>
      <c r="BD134" s="31">
        <f>1.01*1000</f>
        <v>1010</v>
      </c>
      <c r="BE134" s="31">
        <f>1.08*1000</f>
        <v>1080</v>
      </c>
      <c r="BF134" s="31" t="s">
        <v>307</v>
      </c>
      <c r="EJ134" s="12"/>
      <c r="EL134" s="15"/>
      <c r="FR134" s="31" t="s">
        <v>310</v>
      </c>
      <c r="FT134" s="31">
        <v>12</v>
      </c>
    </row>
    <row r="135" spans="1:176" s="31" customFormat="1" x14ac:dyDescent="0.25">
      <c r="A135" s="31">
        <v>12</v>
      </c>
      <c r="B135" s="31" t="s">
        <v>303</v>
      </c>
      <c r="C135" s="31" t="s">
        <v>304</v>
      </c>
      <c r="D135" s="31">
        <v>1984</v>
      </c>
      <c r="E135" s="31">
        <v>1980</v>
      </c>
      <c r="F135" s="31" t="s">
        <v>305</v>
      </c>
      <c r="G135" s="31" t="s">
        <v>311</v>
      </c>
      <c r="H135" s="31">
        <v>34.36</v>
      </c>
      <c r="I135" s="31">
        <v>-80.010000000000005</v>
      </c>
      <c r="J135" s="31">
        <v>61.3</v>
      </c>
      <c r="P135" s="56">
        <v>2</v>
      </c>
      <c r="Q135" s="56"/>
      <c r="R135" s="56"/>
      <c r="S135" s="56" t="s">
        <v>1558</v>
      </c>
      <c r="T135" s="56" t="s">
        <v>1558</v>
      </c>
      <c r="U135" s="56" t="s">
        <v>1558</v>
      </c>
      <c r="V135" s="56" t="s">
        <v>1905</v>
      </c>
      <c r="Z135" s="31" t="s">
        <v>210</v>
      </c>
      <c r="AD135" s="31" t="s">
        <v>1478</v>
      </c>
      <c r="AE135" s="31" t="s">
        <v>159</v>
      </c>
      <c r="AF135" s="152" t="s">
        <v>159</v>
      </c>
      <c r="AG135" s="31" t="s">
        <v>1777</v>
      </c>
      <c r="AH135" s="155" t="s">
        <v>190</v>
      </c>
      <c r="AL135" s="31" t="s">
        <v>269</v>
      </c>
      <c r="AM135" s="31" t="s">
        <v>306</v>
      </c>
      <c r="AN135" s="31" t="s">
        <v>587</v>
      </c>
      <c r="AO135" s="31" t="s">
        <v>279</v>
      </c>
      <c r="AP135" s="31" t="s">
        <v>279</v>
      </c>
      <c r="AQ135" s="31" t="s">
        <v>212</v>
      </c>
      <c r="AS135" s="31">
        <v>3</v>
      </c>
      <c r="AT135" s="31">
        <v>3</v>
      </c>
      <c r="AU135" s="31" t="s">
        <v>209</v>
      </c>
      <c r="AY135" s="64"/>
      <c r="BD135" s="31">
        <f>1.1*1000</f>
        <v>1100</v>
      </c>
      <c r="BE135" s="31">
        <f>0.81*1000</f>
        <v>810</v>
      </c>
      <c r="BF135" s="31" t="s">
        <v>307</v>
      </c>
      <c r="EJ135" s="12"/>
      <c r="EL135" s="15"/>
      <c r="FR135" s="31" t="s">
        <v>310</v>
      </c>
      <c r="FT135" s="31">
        <v>12</v>
      </c>
    </row>
    <row r="136" spans="1:176" s="31" customFormat="1" x14ac:dyDescent="0.25">
      <c r="A136" s="31">
        <v>12</v>
      </c>
      <c r="B136" s="31" t="s">
        <v>303</v>
      </c>
      <c r="C136" s="31" t="s">
        <v>304</v>
      </c>
      <c r="D136" s="31">
        <v>1984</v>
      </c>
      <c r="E136" s="31">
        <v>1980</v>
      </c>
      <c r="F136" s="31" t="s">
        <v>305</v>
      </c>
      <c r="G136" s="31" t="s">
        <v>311</v>
      </c>
      <c r="H136" s="31">
        <v>34.36</v>
      </c>
      <c r="I136" s="31">
        <v>-80.010000000000005</v>
      </c>
      <c r="J136" s="31">
        <v>61.3</v>
      </c>
      <c r="P136" s="56">
        <v>2</v>
      </c>
      <c r="Q136" s="56"/>
      <c r="R136" s="56"/>
      <c r="S136" s="56" t="s">
        <v>1558</v>
      </c>
      <c r="T136" s="56" t="s">
        <v>1558</v>
      </c>
      <c r="U136" s="56" t="s">
        <v>1558</v>
      </c>
      <c r="V136" s="56" t="s">
        <v>1905</v>
      </c>
      <c r="Z136" s="31" t="s">
        <v>210</v>
      </c>
      <c r="AD136" s="31" t="s">
        <v>1478</v>
      </c>
      <c r="AE136" s="31" t="s">
        <v>159</v>
      </c>
      <c r="AF136" s="152" t="s">
        <v>159</v>
      </c>
      <c r="AG136" s="31" t="s">
        <v>1778</v>
      </c>
      <c r="AH136" s="155" t="s">
        <v>190</v>
      </c>
      <c r="AL136" s="31" t="s">
        <v>269</v>
      </c>
      <c r="AM136" s="31" t="s">
        <v>306</v>
      </c>
      <c r="AN136" s="31" t="s">
        <v>587</v>
      </c>
      <c r="AO136" s="31" t="s">
        <v>279</v>
      </c>
      <c r="AP136" s="31" t="s">
        <v>279</v>
      </c>
      <c r="AQ136" s="31" t="s">
        <v>212</v>
      </c>
      <c r="AS136" s="31">
        <v>3</v>
      </c>
      <c r="AT136" s="31">
        <v>3</v>
      </c>
      <c r="AU136" s="31" t="s">
        <v>209</v>
      </c>
      <c r="AY136" s="64"/>
      <c r="BD136" s="31">
        <f>1.08*1000</f>
        <v>1080</v>
      </c>
      <c r="BE136" s="31">
        <f>0.92*1000</f>
        <v>920</v>
      </c>
      <c r="BF136" s="31" t="s">
        <v>307</v>
      </c>
      <c r="EJ136" s="12"/>
      <c r="EL136" s="15"/>
      <c r="FR136" s="31" t="s">
        <v>310</v>
      </c>
      <c r="FT136" s="31">
        <v>12</v>
      </c>
    </row>
    <row r="137" spans="1:176" s="31" customFormat="1" x14ac:dyDescent="0.25">
      <c r="A137" s="31">
        <v>12</v>
      </c>
      <c r="B137" s="31" t="s">
        <v>303</v>
      </c>
      <c r="C137" s="31" t="s">
        <v>304</v>
      </c>
      <c r="D137" s="31">
        <v>1984</v>
      </c>
      <c r="E137" s="31">
        <v>1980</v>
      </c>
      <c r="F137" s="31" t="s">
        <v>305</v>
      </c>
      <c r="G137" s="31" t="s">
        <v>311</v>
      </c>
      <c r="H137" s="31">
        <v>34.36</v>
      </c>
      <c r="I137" s="31">
        <v>-80.010000000000005</v>
      </c>
      <c r="J137" s="31">
        <v>61.3</v>
      </c>
      <c r="P137" s="56">
        <v>2</v>
      </c>
      <c r="Q137" s="56"/>
      <c r="R137" s="56"/>
      <c r="S137" s="56" t="s">
        <v>1558</v>
      </c>
      <c r="T137" s="56" t="s">
        <v>1558</v>
      </c>
      <c r="U137" s="56" t="s">
        <v>1558</v>
      </c>
      <c r="V137" s="56" t="s">
        <v>1905</v>
      </c>
      <c r="Z137" s="31" t="s">
        <v>210</v>
      </c>
      <c r="AD137" s="31" t="s">
        <v>1478</v>
      </c>
      <c r="AE137" s="31" t="s">
        <v>159</v>
      </c>
      <c r="AF137" s="152" t="s">
        <v>159</v>
      </c>
      <c r="AG137" s="31" t="s">
        <v>1776</v>
      </c>
      <c r="AH137" s="155" t="s">
        <v>190</v>
      </c>
      <c r="AL137" s="31" t="s">
        <v>269</v>
      </c>
      <c r="AM137" s="31" t="s">
        <v>306</v>
      </c>
      <c r="AN137" s="31" t="s">
        <v>587</v>
      </c>
      <c r="AO137" s="31" t="s">
        <v>279</v>
      </c>
      <c r="AP137" s="31" t="s">
        <v>279</v>
      </c>
      <c r="AQ137" s="31" t="s">
        <v>212</v>
      </c>
      <c r="AS137" s="31">
        <v>3</v>
      </c>
      <c r="AT137" s="31">
        <v>3</v>
      </c>
      <c r="AU137" s="31" t="s">
        <v>209</v>
      </c>
      <c r="AY137" s="64"/>
      <c r="BD137" s="31">
        <f>0.81*1000</f>
        <v>810</v>
      </c>
      <c r="BE137" s="31">
        <f>0.99*1000</f>
        <v>990</v>
      </c>
      <c r="BF137" s="31" t="s">
        <v>308</v>
      </c>
      <c r="EJ137" s="12"/>
      <c r="EL137" s="15"/>
      <c r="FR137" s="31" t="s">
        <v>310</v>
      </c>
      <c r="FT137" s="31">
        <v>12</v>
      </c>
    </row>
    <row r="138" spans="1:176" s="31" customFormat="1" x14ac:dyDescent="0.25">
      <c r="A138" s="31">
        <v>12</v>
      </c>
      <c r="B138" s="31" t="s">
        <v>303</v>
      </c>
      <c r="C138" s="31" t="s">
        <v>304</v>
      </c>
      <c r="D138" s="31">
        <v>1984</v>
      </c>
      <c r="E138" s="31">
        <v>1980</v>
      </c>
      <c r="F138" s="31" t="s">
        <v>305</v>
      </c>
      <c r="G138" s="31" t="s">
        <v>311</v>
      </c>
      <c r="H138" s="31">
        <v>34.36</v>
      </c>
      <c r="I138" s="31">
        <v>-80.010000000000005</v>
      </c>
      <c r="J138" s="31">
        <v>61.3</v>
      </c>
      <c r="P138" s="56">
        <v>2</v>
      </c>
      <c r="Q138" s="56"/>
      <c r="R138" s="56"/>
      <c r="S138" s="56" t="s">
        <v>1558</v>
      </c>
      <c r="T138" s="56" t="s">
        <v>1558</v>
      </c>
      <c r="U138" s="56" t="s">
        <v>1558</v>
      </c>
      <c r="V138" s="56" t="s">
        <v>1905</v>
      </c>
      <c r="Z138" s="31" t="s">
        <v>210</v>
      </c>
      <c r="AD138" s="31" t="s">
        <v>1478</v>
      </c>
      <c r="AE138" s="31" t="s">
        <v>159</v>
      </c>
      <c r="AF138" s="152" t="s">
        <v>159</v>
      </c>
      <c r="AG138" s="31" t="s">
        <v>1777</v>
      </c>
      <c r="AH138" s="155" t="s">
        <v>190</v>
      </c>
      <c r="AL138" s="31" t="s">
        <v>269</v>
      </c>
      <c r="AM138" s="31" t="s">
        <v>306</v>
      </c>
      <c r="AN138" s="31" t="s">
        <v>587</v>
      </c>
      <c r="AO138" s="31" t="s">
        <v>279</v>
      </c>
      <c r="AP138" s="31" t="s">
        <v>279</v>
      </c>
      <c r="AQ138" s="31" t="s">
        <v>212</v>
      </c>
      <c r="AS138" s="31">
        <v>3</v>
      </c>
      <c r="AT138" s="31">
        <v>3</v>
      </c>
      <c r="AU138" s="31" t="s">
        <v>209</v>
      </c>
      <c r="AY138" s="64"/>
      <c r="BD138" s="31">
        <f>1.06*1000</f>
        <v>1060</v>
      </c>
      <c r="BE138" s="31">
        <f>0.97*1000</f>
        <v>970</v>
      </c>
      <c r="BF138" s="31" t="s">
        <v>308</v>
      </c>
      <c r="EJ138" s="12"/>
      <c r="EL138" s="15"/>
      <c r="FR138" s="31" t="s">
        <v>310</v>
      </c>
      <c r="FT138" s="31">
        <v>12</v>
      </c>
    </row>
    <row r="139" spans="1:176" s="31" customFormat="1" x14ac:dyDescent="0.25">
      <c r="A139" s="31">
        <v>12</v>
      </c>
      <c r="B139" s="31" t="s">
        <v>303</v>
      </c>
      <c r="C139" s="31" t="s">
        <v>304</v>
      </c>
      <c r="D139" s="31">
        <v>1984</v>
      </c>
      <c r="E139" s="31">
        <v>1980</v>
      </c>
      <c r="F139" s="31" t="s">
        <v>305</v>
      </c>
      <c r="G139" s="31" t="s">
        <v>311</v>
      </c>
      <c r="H139" s="31">
        <v>34.36</v>
      </c>
      <c r="I139" s="31">
        <v>-80.010000000000005</v>
      </c>
      <c r="J139" s="31">
        <v>61.3</v>
      </c>
      <c r="P139" s="56">
        <v>2</v>
      </c>
      <c r="Q139" s="56"/>
      <c r="R139" s="56"/>
      <c r="S139" s="56" t="s">
        <v>1558</v>
      </c>
      <c r="T139" s="56" t="s">
        <v>1558</v>
      </c>
      <c r="U139" s="56" t="s">
        <v>1558</v>
      </c>
      <c r="V139" s="56" t="s">
        <v>1905</v>
      </c>
      <c r="Z139" s="31" t="s">
        <v>210</v>
      </c>
      <c r="AD139" s="31" t="s">
        <v>1478</v>
      </c>
      <c r="AE139" s="31" t="s">
        <v>159</v>
      </c>
      <c r="AF139" s="152" t="s">
        <v>159</v>
      </c>
      <c r="AG139" s="31" t="s">
        <v>1778</v>
      </c>
      <c r="AH139" s="155" t="s">
        <v>190</v>
      </c>
      <c r="AL139" s="31" t="s">
        <v>269</v>
      </c>
      <c r="AM139" s="31" t="s">
        <v>306</v>
      </c>
      <c r="AN139" s="31" t="s">
        <v>587</v>
      </c>
      <c r="AO139" s="31" t="s">
        <v>279</v>
      </c>
      <c r="AP139" s="31" t="s">
        <v>279</v>
      </c>
      <c r="AQ139" s="31" t="s">
        <v>212</v>
      </c>
      <c r="AS139" s="31">
        <v>3</v>
      </c>
      <c r="AT139" s="31">
        <v>3</v>
      </c>
      <c r="AU139" s="31" t="s">
        <v>209</v>
      </c>
      <c r="AY139" s="64"/>
      <c r="BD139" s="31">
        <f>1.14*1000</f>
        <v>1140</v>
      </c>
      <c r="BE139" s="31">
        <f>1.02*1000</f>
        <v>1020</v>
      </c>
      <c r="BF139" s="31" t="s">
        <v>308</v>
      </c>
      <c r="EJ139" s="12"/>
      <c r="EL139" s="15"/>
      <c r="FR139" s="31" t="s">
        <v>310</v>
      </c>
      <c r="FT139" s="31">
        <v>12</v>
      </c>
    </row>
    <row r="140" spans="1:176" s="31" customFormat="1" x14ac:dyDescent="0.25">
      <c r="A140" s="31">
        <v>12</v>
      </c>
      <c r="B140" s="31" t="s">
        <v>303</v>
      </c>
      <c r="C140" s="31" t="s">
        <v>304</v>
      </c>
      <c r="D140" s="31">
        <v>1984</v>
      </c>
      <c r="E140" s="31">
        <v>1980</v>
      </c>
      <c r="F140" s="31" t="s">
        <v>305</v>
      </c>
      <c r="G140" s="31" t="s">
        <v>312</v>
      </c>
      <c r="H140" s="31">
        <v>34.200000000000003</v>
      </c>
      <c r="I140" s="31">
        <v>-79.760000000000005</v>
      </c>
      <c r="J140" s="31">
        <v>44.3</v>
      </c>
      <c r="P140" s="56">
        <v>3</v>
      </c>
      <c r="Q140" s="56"/>
      <c r="R140" s="56"/>
      <c r="S140" s="56" t="s">
        <v>1558</v>
      </c>
      <c r="T140" s="56" t="s">
        <v>1558</v>
      </c>
      <c r="U140" s="56" t="s">
        <v>1558</v>
      </c>
      <c r="V140" s="56" t="s">
        <v>1905</v>
      </c>
      <c r="Z140" s="31" t="s">
        <v>210</v>
      </c>
      <c r="AD140" s="31" t="s">
        <v>1478</v>
      </c>
      <c r="AE140" s="31" t="s">
        <v>159</v>
      </c>
      <c r="AF140" s="152" t="s">
        <v>159</v>
      </c>
      <c r="AG140" s="31" t="s">
        <v>1776</v>
      </c>
      <c r="AH140" s="155" t="s">
        <v>190</v>
      </c>
      <c r="AL140" s="31" t="s">
        <v>269</v>
      </c>
      <c r="AM140" s="31" t="s">
        <v>306</v>
      </c>
      <c r="AN140" s="31" t="s">
        <v>587</v>
      </c>
      <c r="AO140" s="31" t="s">
        <v>279</v>
      </c>
      <c r="AP140" s="31" t="s">
        <v>279</v>
      </c>
      <c r="AQ140" s="31" t="s">
        <v>212</v>
      </c>
      <c r="AS140" s="31">
        <v>3</v>
      </c>
      <c r="AT140" s="31">
        <v>3</v>
      </c>
      <c r="AU140" s="31" t="s">
        <v>209</v>
      </c>
      <c r="AY140" s="64"/>
      <c r="BD140" s="31">
        <f>2.06*1000</f>
        <v>2060</v>
      </c>
      <c r="BE140" s="31">
        <f>1.6*1000</f>
        <v>1600</v>
      </c>
      <c r="BF140" s="31" t="s">
        <v>307</v>
      </c>
      <c r="EJ140" s="12"/>
      <c r="EL140" s="15"/>
      <c r="FR140" s="31" t="s">
        <v>309</v>
      </c>
      <c r="FT140" s="31">
        <v>12</v>
      </c>
    </row>
    <row r="141" spans="1:176" s="31" customFormat="1" x14ac:dyDescent="0.25">
      <c r="A141" s="31">
        <v>12</v>
      </c>
      <c r="B141" s="31" t="s">
        <v>303</v>
      </c>
      <c r="C141" s="31" t="s">
        <v>304</v>
      </c>
      <c r="D141" s="31">
        <v>1984</v>
      </c>
      <c r="E141" s="31">
        <v>1980</v>
      </c>
      <c r="F141" s="31" t="s">
        <v>305</v>
      </c>
      <c r="G141" s="31" t="s">
        <v>312</v>
      </c>
      <c r="H141" s="31">
        <v>34.200000000000003</v>
      </c>
      <c r="I141" s="31">
        <v>-79.760000000000005</v>
      </c>
      <c r="J141" s="31">
        <v>44.3</v>
      </c>
      <c r="P141" s="56">
        <v>3</v>
      </c>
      <c r="Q141" s="56"/>
      <c r="R141" s="56"/>
      <c r="S141" s="56" t="s">
        <v>1558</v>
      </c>
      <c r="T141" s="56" t="s">
        <v>1558</v>
      </c>
      <c r="U141" s="56" t="s">
        <v>1558</v>
      </c>
      <c r="V141" s="56" t="s">
        <v>1905</v>
      </c>
      <c r="Z141" s="31" t="s">
        <v>210</v>
      </c>
      <c r="AD141" s="31" t="s">
        <v>1478</v>
      </c>
      <c r="AE141" s="31" t="s">
        <v>159</v>
      </c>
      <c r="AF141" s="152" t="s">
        <v>159</v>
      </c>
      <c r="AG141" s="31" t="s">
        <v>1777</v>
      </c>
      <c r="AH141" s="155" t="s">
        <v>190</v>
      </c>
      <c r="AL141" s="31" t="s">
        <v>269</v>
      </c>
      <c r="AM141" s="31" t="s">
        <v>306</v>
      </c>
      <c r="AN141" s="31" t="s">
        <v>587</v>
      </c>
      <c r="AO141" s="31" t="s">
        <v>279</v>
      </c>
      <c r="AP141" s="31" t="s">
        <v>279</v>
      </c>
      <c r="AQ141" s="31" t="s">
        <v>212</v>
      </c>
      <c r="AS141" s="31">
        <v>3</v>
      </c>
      <c r="AT141" s="31">
        <v>3</v>
      </c>
      <c r="AU141" s="31" t="s">
        <v>209</v>
      </c>
      <c r="AY141" s="64"/>
      <c r="EJ141" s="12"/>
      <c r="EL141" s="15"/>
      <c r="FR141" s="31" t="s">
        <v>309</v>
      </c>
      <c r="FT141" s="31">
        <v>12</v>
      </c>
    </row>
    <row r="142" spans="1:176" s="31" customFormat="1" x14ac:dyDescent="0.25">
      <c r="A142" s="31">
        <v>12</v>
      </c>
      <c r="B142" s="31" t="s">
        <v>303</v>
      </c>
      <c r="C142" s="31" t="s">
        <v>304</v>
      </c>
      <c r="D142" s="31">
        <v>1984</v>
      </c>
      <c r="E142" s="31">
        <v>1980</v>
      </c>
      <c r="F142" s="31" t="s">
        <v>305</v>
      </c>
      <c r="G142" s="31" t="s">
        <v>312</v>
      </c>
      <c r="H142" s="31">
        <v>34.200000000000003</v>
      </c>
      <c r="I142" s="31">
        <v>-79.760000000000005</v>
      </c>
      <c r="J142" s="31">
        <v>44.3</v>
      </c>
      <c r="P142" s="56">
        <v>3</v>
      </c>
      <c r="Q142" s="56"/>
      <c r="R142" s="56"/>
      <c r="S142" s="56" t="s">
        <v>1558</v>
      </c>
      <c r="T142" s="56" t="s">
        <v>1558</v>
      </c>
      <c r="U142" s="56" t="s">
        <v>1558</v>
      </c>
      <c r="V142" s="56" t="s">
        <v>1905</v>
      </c>
      <c r="Z142" s="31" t="s">
        <v>210</v>
      </c>
      <c r="AD142" s="31" t="s">
        <v>1478</v>
      </c>
      <c r="AE142" s="31" t="s">
        <v>159</v>
      </c>
      <c r="AF142" s="152" t="s">
        <v>159</v>
      </c>
      <c r="AG142" s="31" t="s">
        <v>1778</v>
      </c>
      <c r="AH142" s="155" t="s">
        <v>190</v>
      </c>
      <c r="AL142" s="31" t="s">
        <v>269</v>
      </c>
      <c r="AM142" s="31" t="s">
        <v>306</v>
      </c>
      <c r="AN142" s="31" t="s">
        <v>587</v>
      </c>
      <c r="AO142" s="31" t="s">
        <v>279</v>
      </c>
      <c r="AP142" s="31" t="s">
        <v>279</v>
      </c>
      <c r="AQ142" s="31" t="s">
        <v>212</v>
      </c>
      <c r="AS142" s="31">
        <v>3</v>
      </c>
      <c r="AT142" s="31">
        <v>3</v>
      </c>
      <c r="AU142" s="31" t="s">
        <v>209</v>
      </c>
      <c r="AY142" s="64"/>
      <c r="BD142" s="31">
        <f>2*1000</f>
        <v>2000</v>
      </c>
      <c r="BE142" s="31">
        <f>1.68*1000</f>
        <v>1680</v>
      </c>
      <c r="BF142" s="31" t="s">
        <v>307</v>
      </c>
      <c r="EJ142" s="12"/>
      <c r="EL142" s="15"/>
      <c r="FR142" s="31" t="s">
        <v>309</v>
      </c>
      <c r="FT142" s="31">
        <v>12</v>
      </c>
    </row>
    <row r="143" spans="1:176" s="31" customFormat="1" x14ac:dyDescent="0.25">
      <c r="A143" s="31">
        <v>12</v>
      </c>
      <c r="B143" s="31" t="s">
        <v>303</v>
      </c>
      <c r="C143" s="31" t="s">
        <v>304</v>
      </c>
      <c r="D143" s="31">
        <v>1984</v>
      </c>
      <c r="E143" s="31">
        <v>1980</v>
      </c>
      <c r="F143" s="31" t="s">
        <v>305</v>
      </c>
      <c r="G143" s="31" t="s">
        <v>312</v>
      </c>
      <c r="H143" s="31">
        <v>34.200000000000003</v>
      </c>
      <c r="I143" s="31">
        <v>-79.760000000000005</v>
      </c>
      <c r="J143" s="31">
        <v>44.3</v>
      </c>
      <c r="P143" s="56">
        <v>3</v>
      </c>
      <c r="Q143" s="56"/>
      <c r="R143" s="56"/>
      <c r="S143" s="56" t="s">
        <v>1558</v>
      </c>
      <c r="T143" s="56" t="s">
        <v>1558</v>
      </c>
      <c r="U143" s="56" t="s">
        <v>1558</v>
      </c>
      <c r="V143" s="56" t="s">
        <v>1905</v>
      </c>
      <c r="Z143" s="31" t="s">
        <v>210</v>
      </c>
      <c r="AD143" s="31" t="s">
        <v>1478</v>
      </c>
      <c r="AE143" s="31" t="s">
        <v>159</v>
      </c>
      <c r="AF143" s="152" t="s">
        <v>159</v>
      </c>
      <c r="AG143" s="31" t="s">
        <v>1776</v>
      </c>
      <c r="AH143" s="155" t="s">
        <v>190</v>
      </c>
      <c r="AL143" s="31" t="s">
        <v>269</v>
      </c>
      <c r="AM143" s="31" t="s">
        <v>306</v>
      </c>
      <c r="AN143" s="31" t="s">
        <v>587</v>
      </c>
      <c r="AO143" s="31" t="s">
        <v>279</v>
      </c>
      <c r="AP143" s="31" t="s">
        <v>279</v>
      </c>
      <c r="AQ143" s="31" t="s">
        <v>212</v>
      </c>
      <c r="AS143" s="31">
        <v>3</v>
      </c>
      <c r="AT143" s="31">
        <v>3</v>
      </c>
      <c r="AU143" s="31" t="s">
        <v>209</v>
      </c>
      <c r="AY143" s="64"/>
      <c r="BD143" s="31">
        <f>1.86*1000</f>
        <v>1860</v>
      </c>
      <c r="BE143" s="31">
        <f>1.89*1000</f>
        <v>1890</v>
      </c>
      <c r="BF143" s="31" t="s">
        <v>308</v>
      </c>
      <c r="EJ143" s="12"/>
      <c r="EL143" s="15"/>
      <c r="FR143" s="31" t="s">
        <v>309</v>
      </c>
      <c r="FT143" s="31">
        <v>12</v>
      </c>
    </row>
    <row r="144" spans="1:176" s="31" customFormat="1" x14ac:dyDescent="0.25">
      <c r="A144" s="31">
        <v>12</v>
      </c>
      <c r="B144" s="31" t="s">
        <v>303</v>
      </c>
      <c r="C144" s="31" t="s">
        <v>304</v>
      </c>
      <c r="D144" s="31">
        <v>1984</v>
      </c>
      <c r="E144" s="31">
        <v>1980</v>
      </c>
      <c r="F144" s="31" t="s">
        <v>305</v>
      </c>
      <c r="G144" s="31" t="s">
        <v>312</v>
      </c>
      <c r="H144" s="31">
        <v>34.200000000000003</v>
      </c>
      <c r="I144" s="31">
        <v>-79.760000000000005</v>
      </c>
      <c r="J144" s="31">
        <v>44.3</v>
      </c>
      <c r="P144" s="56">
        <v>3</v>
      </c>
      <c r="Q144" s="56"/>
      <c r="R144" s="56"/>
      <c r="S144" s="56" t="s">
        <v>1558</v>
      </c>
      <c r="T144" s="56" t="s">
        <v>1558</v>
      </c>
      <c r="U144" s="56" t="s">
        <v>1558</v>
      </c>
      <c r="V144" s="56" t="s">
        <v>1905</v>
      </c>
      <c r="Z144" s="31" t="s">
        <v>210</v>
      </c>
      <c r="AD144" s="31" t="s">
        <v>1478</v>
      </c>
      <c r="AE144" s="31" t="s">
        <v>159</v>
      </c>
      <c r="AF144" s="152" t="s">
        <v>159</v>
      </c>
      <c r="AG144" s="31" t="s">
        <v>1777</v>
      </c>
      <c r="AH144" s="155" t="s">
        <v>190</v>
      </c>
      <c r="AL144" s="31" t="s">
        <v>269</v>
      </c>
      <c r="AM144" s="31" t="s">
        <v>306</v>
      </c>
      <c r="AN144" s="31" t="s">
        <v>587</v>
      </c>
      <c r="AO144" s="31" t="s">
        <v>279</v>
      </c>
      <c r="AP144" s="31" t="s">
        <v>279</v>
      </c>
      <c r="AQ144" s="31" t="s">
        <v>212</v>
      </c>
      <c r="AS144" s="31">
        <v>3</v>
      </c>
      <c r="AT144" s="31">
        <v>3</v>
      </c>
      <c r="AU144" s="31" t="s">
        <v>209</v>
      </c>
      <c r="AY144" s="64"/>
      <c r="BD144" s="31">
        <f>1.9*1000</f>
        <v>1900</v>
      </c>
      <c r="BE144" s="31">
        <f>1.93*1000</f>
        <v>1930</v>
      </c>
      <c r="BF144" s="31" t="s">
        <v>308</v>
      </c>
      <c r="EJ144" s="12"/>
      <c r="EL144" s="15"/>
      <c r="FR144" s="31" t="s">
        <v>309</v>
      </c>
      <c r="FT144" s="31">
        <v>12</v>
      </c>
    </row>
    <row r="145" spans="1:176" s="31" customFormat="1" x14ac:dyDescent="0.25">
      <c r="A145" s="31">
        <v>12</v>
      </c>
      <c r="B145" s="31" t="s">
        <v>303</v>
      </c>
      <c r="C145" s="31" t="s">
        <v>304</v>
      </c>
      <c r="D145" s="31">
        <v>1984</v>
      </c>
      <c r="E145" s="31">
        <v>1980</v>
      </c>
      <c r="F145" s="31" t="s">
        <v>305</v>
      </c>
      <c r="G145" s="31" t="s">
        <v>312</v>
      </c>
      <c r="H145" s="31">
        <v>34.200000000000003</v>
      </c>
      <c r="I145" s="31">
        <v>-79.760000000000005</v>
      </c>
      <c r="J145" s="31">
        <v>44.3</v>
      </c>
      <c r="P145" s="56">
        <v>3</v>
      </c>
      <c r="Q145" s="56"/>
      <c r="R145" s="56"/>
      <c r="S145" s="56" t="s">
        <v>1558</v>
      </c>
      <c r="T145" s="56" t="s">
        <v>1558</v>
      </c>
      <c r="U145" s="56" t="s">
        <v>1558</v>
      </c>
      <c r="V145" s="56" t="s">
        <v>1905</v>
      </c>
      <c r="Z145" s="31" t="s">
        <v>210</v>
      </c>
      <c r="AD145" s="31" t="s">
        <v>1478</v>
      </c>
      <c r="AE145" s="31" t="s">
        <v>159</v>
      </c>
      <c r="AF145" s="152" t="s">
        <v>159</v>
      </c>
      <c r="AG145" s="31" t="s">
        <v>1778</v>
      </c>
      <c r="AH145" s="155" t="s">
        <v>190</v>
      </c>
      <c r="AL145" s="31" t="s">
        <v>269</v>
      </c>
      <c r="AM145" s="31" t="s">
        <v>306</v>
      </c>
      <c r="AN145" s="31" t="s">
        <v>587</v>
      </c>
      <c r="AO145" s="31" t="s">
        <v>279</v>
      </c>
      <c r="AP145" s="31" t="s">
        <v>279</v>
      </c>
      <c r="AQ145" s="31" t="s">
        <v>212</v>
      </c>
      <c r="AS145" s="31">
        <v>3</v>
      </c>
      <c r="AT145" s="31">
        <v>3</v>
      </c>
      <c r="AU145" s="31" t="s">
        <v>209</v>
      </c>
      <c r="AY145" s="64"/>
      <c r="BD145" s="31">
        <f>2.05*1000</f>
        <v>2050</v>
      </c>
      <c r="BE145" s="31">
        <f>2.09*1000</f>
        <v>2090</v>
      </c>
      <c r="BF145" s="31" t="s">
        <v>308</v>
      </c>
      <c r="EJ145" s="12"/>
      <c r="EL145" s="15"/>
      <c r="FR145" s="31" t="s">
        <v>309</v>
      </c>
      <c r="FT145" s="31">
        <v>12</v>
      </c>
    </row>
    <row r="146" spans="1:176" s="31" customFormat="1" x14ac:dyDescent="0.25">
      <c r="A146" s="31">
        <v>12</v>
      </c>
      <c r="B146" s="31" t="s">
        <v>303</v>
      </c>
      <c r="C146" s="31" t="s">
        <v>304</v>
      </c>
      <c r="D146" s="31">
        <v>1984</v>
      </c>
      <c r="E146" s="31">
        <v>1980</v>
      </c>
      <c r="F146" s="31" t="s">
        <v>305</v>
      </c>
      <c r="G146" s="31" t="s">
        <v>312</v>
      </c>
      <c r="H146" s="31">
        <v>34.200000000000003</v>
      </c>
      <c r="I146" s="31">
        <v>-79.760000000000005</v>
      </c>
      <c r="J146" s="31">
        <v>44.3</v>
      </c>
      <c r="P146" s="56">
        <v>3</v>
      </c>
      <c r="Q146" s="56"/>
      <c r="R146" s="56"/>
      <c r="S146" s="56" t="s">
        <v>1558</v>
      </c>
      <c r="T146" s="56" t="s">
        <v>1558</v>
      </c>
      <c r="U146" s="56" t="s">
        <v>1558</v>
      </c>
      <c r="V146" s="56" t="s">
        <v>1905</v>
      </c>
      <c r="Z146" s="31" t="s">
        <v>210</v>
      </c>
      <c r="AD146" s="31" t="s">
        <v>1478</v>
      </c>
      <c r="AE146" s="31" t="s">
        <v>159</v>
      </c>
      <c r="AF146" s="152" t="s">
        <v>159</v>
      </c>
      <c r="AG146" s="31" t="s">
        <v>1776</v>
      </c>
      <c r="AH146" s="155" t="s">
        <v>190</v>
      </c>
      <c r="AL146" s="31" t="s">
        <v>269</v>
      </c>
      <c r="AM146" s="31" t="s">
        <v>306</v>
      </c>
      <c r="AN146" s="31" t="s">
        <v>587</v>
      </c>
      <c r="AO146" s="31" t="s">
        <v>279</v>
      </c>
      <c r="AP146" s="31" t="s">
        <v>279</v>
      </c>
      <c r="AQ146" s="31" t="s">
        <v>212</v>
      </c>
      <c r="AS146" s="31">
        <v>3</v>
      </c>
      <c r="AT146" s="31">
        <v>3</v>
      </c>
      <c r="AU146" s="31" t="s">
        <v>209</v>
      </c>
      <c r="AY146" s="64"/>
      <c r="BD146" s="31">
        <f>2*1000</f>
        <v>2000</v>
      </c>
      <c r="BE146" s="31">
        <f>1.9*1000</f>
        <v>1900</v>
      </c>
      <c r="BF146" s="31" t="s">
        <v>307</v>
      </c>
      <c r="EJ146" s="12"/>
      <c r="EL146" s="15"/>
      <c r="FR146" s="31" t="s">
        <v>310</v>
      </c>
      <c r="FT146" s="31">
        <v>12</v>
      </c>
    </row>
    <row r="147" spans="1:176" s="31" customFormat="1" x14ac:dyDescent="0.25">
      <c r="A147" s="31">
        <v>12</v>
      </c>
      <c r="B147" s="31" t="s">
        <v>303</v>
      </c>
      <c r="C147" s="31" t="s">
        <v>304</v>
      </c>
      <c r="D147" s="31">
        <v>1984</v>
      </c>
      <c r="E147" s="31">
        <v>1980</v>
      </c>
      <c r="F147" s="31" t="s">
        <v>305</v>
      </c>
      <c r="G147" s="31" t="s">
        <v>312</v>
      </c>
      <c r="H147" s="31">
        <v>34.200000000000003</v>
      </c>
      <c r="I147" s="31">
        <v>-79.760000000000005</v>
      </c>
      <c r="J147" s="31">
        <v>44.3</v>
      </c>
      <c r="P147" s="56">
        <v>3</v>
      </c>
      <c r="Q147" s="56"/>
      <c r="R147" s="56"/>
      <c r="S147" s="56" t="s">
        <v>1558</v>
      </c>
      <c r="T147" s="56" t="s">
        <v>1558</v>
      </c>
      <c r="U147" s="56" t="s">
        <v>1558</v>
      </c>
      <c r="V147" s="56" t="s">
        <v>1905</v>
      </c>
      <c r="Z147" s="31" t="s">
        <v>210</v>
      </c>
      <c r="AD147" s="31" t="s">
        <v>1478</v>
      </c>
      <c r="AE147" s="31" t="s">
        <v>159</v>
      </c>
      <c r="AF147" s="152" t="s">
        <v>159</v>
      </c>
      <c r="AG147" s="31" t="s">
        <v>1777</v>
      </c>
      <c r="AH147" s="155" t="s">
        <v>190</v>
      </c>
      <c r="AL147" s="31" t="s">
        <v>269</v>
      </c>
      <c r="AM147" s="31" t="s">
        <v>306</v>
      </c>
      <c r="AN147" s="31" t="s">
        <v>587</v>
      </c>
      <c r="AO147" s="31" t="s">
        <v>279</v>
      </c>
      <c r="AP147" s="31" t="s">
        <v>279</v>
      </c>
      <c r="AQ147" s="31" t="s">
        <v>212</v>
      </c>
      <c r="AS147" s="31">
        <v>3</v>
      </c>
      <c r="AT147" s="31">
        <v>3</v>
      </c>
      <c r="AU147" s="31" t="s">
        <v>209</v>
      </c>
      <c r="AY147" s="64"/>
      <c r="BD147" s="31">
        <f>1.98*1000</f>
        <v>1980</v>
      </c>
      <c r="BE147" s="31">
        <f>1.91*1000</f>
        <v>1910</v>
      </c>
      <c r="BF147" s="31" t="s">
        <v>307</v>
      </c>
      <c r="EJ147" s="12"/>
      <c r="EL147" s="15"/>
      <c r="FR147" s="31" t="s">
        <v>310</v>
      </c>
      <c r="FT147" s="31">
        <v>12</v>
      </c>
    </row>
    <row r="148" spans="1:176" s="31" customFormat="1" x14ac:dyDescent="0.25">
      <c r="A148" s="31">
        <v>12</v>
      </c>
      <c r="B148" s="31" t="s">
        <v>303</v>
      </c>
      <c r="C148" s="31" t="s">
        <v>304</v>
      </c>
      <c r="D148" s="31">
        <v>1984</v>
      </c>
      <c r="E148" s="31">
        <v>1980</v>
      </c>
      <c r="F148" s="31" t="s">
        <v>305</v>
      </c>
      <c r="G148" s="31" t="s">
        <v>312</v>
      </c>
      <c r="H148" s="31">
        <v>34.200000000000003</v>
      </c>
      <c r="I148" s="31">
        <v>-79.760000000000005</v>
      </c>
      <c r="J148" s="31">
        <v>44.3</v>
      </c>
      <c r="P148" s="56">
        <v>3</v>
      </c>
      <c r="Q148" s="56"/>
      <c r="R148" s="56"/>
      <c r="S148" s="56" t="s">
        <v>1558</v>
      </c>
      <c r="T148" s="56" t="s">
        <v>1558</v>
      </c>
      <c r="U148" s="56" t="s">
        <v>1558</v>
      </c>
      <c r="V148" s="56" t="s">
        <v>1905</v>
      </c>
      <c r="Z148" s="31" t="s">
        <v>210</v>
      </c>
      <c r="AD148" s="31" t="s">
        <v>1478</v>
      </c>
      <c r="AE148" s="31" t="s">
        <v>159</v>
      </c>
      <c r="AF148" s="152" t="s">
        <v>159</v>
      </c>
      <c r="AG148" s="31" t="s">
        <v>1778</v>
      </c>
      <c r="AH148" s="155" t="s">
        <v>190</v>
      </c>
      <c r="AL148" s="31" t="s">
        <v>269</v>
      </c>
      <c r="AM148" s="31" t="s">
        <v>306</v>
      </c>
      <c r="AN148" s="31" t="s">
        <v>587</v>
      </c>
      <c r="AO148" s="31" t="s">
        <v>279</v>
      </c>
      <c r="AP148" s="31" t="s">
        <v>279</v>
      </c>
      <c r="AQ148" s="31" t="s">
        <v>212</v>
      </c>
      <c r="AS148" s="31">
        <v>3</v>
      </c>
      <c r="AT148" s="31">
        <v>3</v>
      </c>
      <c r="AU148" s="31" t="s">
        <v>209</v>
      </c>
      <c r="AY148" s="64"/>
      <c r="BD148" s="31">
        <f>2.27*1000</f>
        <v>2270</v>
      </c>
      <c r="BE148" s="31">
        <f>2.12*1000</f>
        <v>2120</v>
      </c>
      <c r="BF148" s="31" t="s">
        <v>307</v>
      </c>
      <c r="EJ148" s="12"/>
      <c r="EL148" s="15"/>
      <c r="FR148" s="31" t="s">
        <v>310</v>
      </c>
      <c r="FT148" s="31">
        <v>12</v>
      </c>
    </row>
    <row r="149" spans="1:176" s="31" customFormat="1" x14ac:dyDescent="0.25">
      <c r="A149" s="31">
        <v>12</v>
      </c>
      <c r="B149" s="31" t="s">
        <v>303</v>
      </c>
      <c r="C149" s="31" t="s">
        <v>304</v>
      </c>
      <c r="D149" s="31">
        <v>1984</v>
      </c>
      <c r="E149" s="31">
        <v>1980</v>
      </c>
      <c r="F149" s="31" t="s">
        <v>305</v>
      </c>
      <c r="G149" s="31" t="s">
        <v>312</v>
      </c>
      <c r="H149" s="31">
        <v>34.200000000000003</v>
      </c>
      <c r="I149" s="31">
        <v>-79.760000000000005</v>
      </c>
      <c r="J149" s="31">
        <v>44.3</v>
      </c>
      <c r="P149" s="56">
        <v>3</v>
      </c>
      <c r="Q149" s="56"/>
      <c r="R149" s="56"/>
      <c r="S149" s="56" t="s">
        <v>1558</v>
      </c>
      <c r="T149" s="56" t="s">
        <v>1558</v>
      </c>
      <c r="U149" s="56" t="s">
        <v>1558</v>
      </c>
      <c r="V149" s="56" t="s">
        <v>1905</v>
      </c>
      <c r="Z149" s="31" t="s">
        <v>210</v>
      </c>
      <c r="AD149" s="31" t="s">
        <v>1478</v>
      </c>
      <c r="AE149" s="31" t="s">
        <v>159</v>
      </c>
      <c r="AF149" s="152" t="s">
        <v>159</v>
      </c>
      <c r="AG149" s="31" t="s">
        <v>1776</v>
      </c>
      <c r="AH149" s="155" t="s">
        <v>190</v>
      </c>
      <c r="AL149" s="31" t="s">
        <v>269</v>
      </c>
      <c r="AM149" s="31" t="s">
        <v>306</v>
      </c>
      <c r="AN149" s="31" t="s">
        <v>587</v>
      </c>
      <c r="AO149" s="31" t="s">
        <v>279</v>
      </c>
      <c r="AP149" s="31" t="s">
        <v>279</v>
      </c>
      <c r="AQ149" s="31" t="s">
        <v>212</v>
      </c>
      <c r="AS149" s="31">
        <v>3</v>
      </c>
      <c r="AT149" s="31">
        <v>3</v>
      </c>
      <c r="AU149" s="31" t="s">
        <v>209</v>
      </c>
      <c r="AY149" s="64"/>
      <c r="BD149" s="31">
        <f>1.95*1000</f>
        <v>1950</v>
      </c>
      <c r="BE149" s="31">
        <f>1.92*1000</f>
        <v>1920</v>
      </c>
      <c r="BF149" s="31" t="s">
        <v>308</v>
      </c>
      <c r="EJ149" s="12"/>
      <c r="EL149" s="15"/>
      <c r="FR149" s="31" t="s">
        <v>310</v>
      </c>
      <c r="FT149" s="31">
        <v>12</v>
      </c>
    </row>
    <row r="150" spans="1:176" s="31" customFormat="1" x14ac:dyDescent="0.25">
      <c r="A150" s="31">
        <v>12</v>
      </c>
      <c r="B150" s="31" t="s">
        <v>303</v>
      </c>
      <c r="C150" s="31" t="s">
        <v>304</v>
      </c>
      <c r="D150" s="31">
        <v>1984</v>
      </c>
      <c r="E150" s="31">
        <v>1980</v>
      </c>
      <c r="F150" s="31" t="s">
        <v>305</v>
      </c>
      <c r="G150" s="31" t="s">
        <v>312</v>
      </c>
      <c r="H150" s="31">
        <v>34.200000000000003</v>
      </c>
      <c r="I150" s="31">
        <v>-79.760000000000005</v>
      </c>
      <c r="J150" s="31">
        <v>44.3</v>
      </c>
      <c r="P150" s="56">
        <v>3</v>
      </c>
      <c r="Q150" s="56"/>
      <c r="R150" s="56"/>
      <c r="S150" s="56" t="s">
        <v>1558</v>
      </c>
      <c r="T150" s="56" t="s">
        <v>1558</v>
      </c>
      <c r="U150" s="56" t="s">
        <v>1558</v>
      </c>
      <c r="V150" s="56" t="s">
        <v>1905</v>
      </c>
      <c r="Z150" s="31" t="s">
        <v>210</v>
      </c>
      <c r="AD150" s="31" t="s">
        <v>1478</v>
      </c>
      <c r="AE150" s="31" t="s">
        <v>159</v>
      </c>
      <c r="AF150" s="152" t="s">
        <v>159</v>
      </c>
      <c r="AG150" s="31" t="s">
        <v>1777</v>
      </c>
      <c r="AH150" s="155" t="s">
        <v>190</v>
      </c>
      <c r="AL150" s="31" t="s">
        <v>269</v>
      </c>
      <c r="AM150" s="31" t="s">
        <v>306</v>
      </c>
      <c r="AN150" s="31" t="s">
        <v>587</v>
      </c>
      <c r="AO150" s="31" t="s">
        <v>279</v>
      </c>
      <c r="AP150" s="31" t="s">
        <v>279</v>
      </c>
      <c r="AQ150" s="31" t="s">
        <v>212</v>
      </c>
      <c r="AS150" s="31">
        <v>3</v>
      </c>
      <c r="AT150" s="31">
        <v>3</v>
      </c>
      <c r="AU150" s="31" t="s">
        <v>209</v>
      </c>
      <c r="AY150" s="64"/>
      <c r="BD150" s="31">
        <f>2.14*1000</f>
        <v>2140</v>
      </c>
      <c r="BE150" s="31">
        <f>2.02*1000</f>
        <v>2020</v>
      </c>
      <c r="BF150" s="31" t="s">
        <v>308</v>
      </c>
      <c r="EJ150" s="12"/>
      <c r="EL150" s="15"/>
      <c r="FR150" s="31" t="s">
        <v>310</v>
      </c>
      <c r="FT150" s="31">
        <v>12</v>
      </c>
    </row>
    <row r="151" spans="1:176" s="31" customFormat="1" x14ac:dyDescent="0.25">
      <c r="A151" s="31">
        <v>12</v>
      </c>
      <c r="B151" s="31" t="s">
        <v>303</v>
      </c>
      <c r="C151" s="31" t="s">
        <v>304</v>
      </c>
      <c r="D151" s="31">
        <v>1984</v>
      </c>
      <c r="E151" s="31">
        <v>1980</v>
      </c>
      <c r="F151" s="31" t="s">
        <v>305</v>
      </c>
      <c r="G151" s="31" t="s">
        <v>312</v>
      </c>
      <c r="H151" s="31">
        <v>34.200000000000003</v>
      </c>
      <c r="I151" s="31">
        <v>-79.760000000000005</v>
      </c>
      <c r="J151" s="31">
        <v>44.3</v>
      </c>
      <c r="P151" s="56">
        <v>3</v>
      </c>
      <c r="Q151" s="56"/>
      <c r="R151" s="56"/>
      <c r="S151" s="56" t="s">
        <v>1558</v>
      </c>
      <c r="T151" s="56" t="s">
        <v>1558</v>
      </c>
      <c r="U151" s="56" t="s">
        <v>1558</v>
      </c>
      <c r="V151" s="56" t="s">
        <v>1905</v>
      </c>
      <c r="Z151" s="31" t="s">
        <v>210</v>
      </c>
      <c r="AD151" s="31" t="s">
        <v>1478</v>
      </c>
      <c r="AE151" s="31" t="s">
        <v>159</v>
      </c>
      <c r="AF151" s="152" t="s">
        <v>159</v>
      </c>
      <c r="AG151" s="31" t="s">
        <v>1778</v>
      </c>
      <c r="AH151" s="155" t="s">
        <v>190</v>
      </c>
      <c r="AL151" s="31" t="s">
        <v>269</v>
      </c>
      <c r="AM151" s="31" t="s">
        <v>306</v>
      </c>
      <c r="AN151" s="31" t="s">
        <v>587</v>
      </c>
      <c r="AO151" s="31" t="s">
        <v>279</v>
      </c>
      <c r="AP151" s="31" t="s">
        <v>279</v>
      </c>
      <c r="AQ151" s="31" t="s">
        <v>212</v>
      </c>
      <c r="AS151" s="31">
        <v>3</v>
      </c>
      <c r="AT151" s="31">
        <v>3</v>
      </c>
      <c r="AU151" s="31" t="s">
        <v>209</v>
      </c>
      <c r="AY151" s="64"/>
      <c r="BD151" s="31">
        <f>2.17*1000</f>
        <v>2170</v>
      </c>
      <c r="BE151" s="31">
        <f>2*1000</f>
        <v>2000</v>
      </c>
      <c r="BF151" s="31" t="s">
        <v>308</v>
      </c>
      <c r="EJ151" s="12"/>
      <c r="EL151" s="15"/>
      <c r="FR151" s="31" t="s">
        <v>310</v>
      </c>
      <c r="FT151" s="31">
        <v>12</v>
      </c>
    </row>
    <row r="152" spans="1:176" s="26" customFormat="1" x14ac:dyDescent="0.25">
      <c r="A152" s="26">
        <v>13</v>
      </c>
      <c r="B152" s="26" t="s">
        <v>303</v>
      </c>
      <c r="C152" s="26" t="s">
        <v>313</v>
      </c>
      <c r="D152" s="26">
        <v>1991</v>
      </c>
      <c r="E152" s="26">
        <v>1987</v>
      </c>
      <c r="F152" s="37" t="s">
        <v>314</v>
      </c>
      <c r="G152" s="26" t="s">
        <v>315</v>
      </c>
      <c r="H152" s="26">
        <v>50.53</v>
      </c>
      <c r="I152" s="26">
        <f t="shared" ref="I152:I171" si="11">-103.67</f>
        <v>-103.67</v>
      </c>
      <c r="J152" s="26">
        <v>579.1</v>
      </c>
      <c r="P152" s="52">
        <v>1</v>
      </c>
      <c r="Q152" s="52"/>
      <c r="R152" s="52"/>
      <c r="S152" s="52" t="s">
        <v>1558</v>
      </c>
      <c r="T152" s="52" t="s">
        <v>1558</v>
      </c>
      <c r="U152" s="52" t="s">
        <v>1558</v>
      </c>
      <c r="V152" s="52" t="s">
        <v>1905</v>
      </c>
      <c r="W152" s="26">
        <f>(0.95+1.22)/2</f>
        <v>1.085</v>
      </c>
      <c r="X152" s="26">
        <v>16.3</v>
      </c>
      <c r="Y152" s="26">
        <v>20.6</v>
      </c>
      <c r="Z152" s="26" t="s">
        <v>894</v>
      </c>
      <c r="AD152" s="26" t="s">
        <v>1479</v>
      </c>
      <c r="AE152" s="26" t="s">
        <v>316</v>
      </c>
      <c r="AF152" s="152" t="s">
        <v>666</v>
      </c>
      <c r="AG152" s="26" t="s">
        <v>1716</v>
      </c>
      <c r="AH152" s="154" t="s">
        <v>144</v>
      </c>
      <c r="AI152" s="26" t="s">
        <v>318</v>
      </c>
      <c r="AJ152" s="26" t="s">
        <v>326</v>
      </c>
      <c r="AK152" s="26" t="s">
        <v>587</v>
      </c>
      <c r="AO152" s="26" t="s">
        <v>193</v>
      </c>
      <c r="AP152" s="26" t="s">
        <v>193</v>
      </c>
      <c r="AQ152" s="26" t="s">
        <v>212</v>
      </c>
      <c r="AR152" s="26" t="s">
        <v>147</v>
      </c>
      <c r="AS152" s="26">
        <v>6</v>
      </c>
      <c r="AT152" s="26">
        <v>6</v>
      </c>
      <c r="AU152" s="26" t="s">
        <v>169</v>
      </c>
      <c r="AV152" s="26">
        <f>112*1000</f>
        <v>112000</v>
      </c>
      <c r="AX152" s="26">
        <f>50/0.96</f>
        <v>52.083333333333336</v>
      </c>
      <c r="AY152" s="63"/>
      <c r="BJ152" s="26">
        <f>36.3*0.00061*100</f>
        <v>2.2142999999999997</v>
      </c>
      <c r="BK152" s="26">
        <f>39.5*0.00061*100</f>
        <v>2.4095</v>
      </c>
      <c r="BL152" s="26" t="s">
        <v>1852</v>
      </c>
      <c r="BM152" s="26">
        <f>BJ152/12.5*10000</f>
        <v>1771.4399999999996</v>
      </c>
      <c r="BN152" s="26">
        <f>BK152/11.8*10000</f>
        <v>2041.9491525423728</v>
      </c>
      <c r="BO152" s="26" t="s">
        <v>916</v>
      </c>
      <c r="EJ152" s="12"/>
      <c r="EL152" s="15"/>
      <c r="EY152" s="26">
        <f>184*0.61/24</f>
        <v>4.6766666666666667</v>
      </c>
      <c r="EZ152" s="26">
        <f>214*0.61/24</f>
        <v>5.439166666666666</v>
      </c>
      <c r="FH152" s="26">
        <f>905*1000000/1627500</f>
        <v>556.06758832565288</v>
      </c>
      <c r="FI152" s="26">
        <f>987*1000000/1627500</f>
        <v>606.45161290322585</v>
      </c>
      <c r="FK152" s="26">
        <f>79*1000000/1627500</f>
        <v>48.540706605222731</v>
      </c>
      <c r="FL152" s="26">
        <f>125*1000000/1627500</f>
        <v>76.804915514592935</v>
      </c>
      <c r="FR152" s="26" t="s">
        <v>330</v>
      </c>
      <c r="FT152" s="26">
        <v>13</v>
      </c>
    </row>
    <row r="153" spans="1:176" s="26" customFormat="1" x14ac:dyDescent="0.25">
      <c r="A153" s="26">
        <v>13</v>
      </c>
      <c r="B153" s="26" t="s">
        <v>303</v>
      </c>
      <c r="C153" s="26" t="s">
        <v>313</v>
      </c>
      <c r="D153" s="26">
        <v>1991</v>
      </c>
      <c r="E153" s="26">
        <v>1987</v>
      </c>
      <c r="F153" s="37" t="s">
        <v>314</v>
      </c>
      <c r="G153" s="26" t="s">
        <v>315</v>
      </c>
      <c r="H153" s="26">
        <v>50.53</v>
      </c>
      <c r="I153" s="26">
        <f t="shared" si="11"/>
        <v>-103.67</v>
      </c>
      <c r="J153" s="26">
        <v>579.1</v>
      </c>
      <c r="P153" s="52">
        <v>1</v>
      </c>
      <c r="Q153" s="52"/>
      <c r="R153" s="52"/>
      <c r="S153" s="52" t="s">
        <v>1558</v>
      </c>
      <c r="T153" s="52" t="s">
        <v>1558</v>
      </c>
      <c r="U153" s="52" t="s">
        <v>1558</v>
      </c>
      <c r="V153" s="52" t="s">
        <v>1905</v>
      </c>
      <c r="W153" s="26">
        <f t="shared" ref="W153:W171" si="12">(0.95+1.22)/2</f>
        <v>1.085</v>
      </c>
      <c r="X153" s="26">
        <v>16.3</v>
      </c>
      <c r="Y153" s="26">
        <v>20.6</v>
      </c>
      <c r="Z153" s="26" t="s">
        <v>894</v>
      </c>
      <c r="AD153" s="26" t="s">
        <v>1479</v>
      </c>
      <c r="AE153" s="26" t="s">
        <v>316</v>
      </c>
      <c r="AF153" s="152" t="s">
        <v>666</v>
      </c>
      <c r="AG153" s="26" t="s">
        <v>1716</v>
      </c>
      <c r="AH153" s="154" t="s">
        <v>144</v>
      </c>
      <c r="AI153" s="26" t="s">
        <v>318</v>
      </c>
      <c r="AJ153" s="26" t="s">
        <v>326</v>
      </c>
      <c r="AK153" s="26" t="s">
        <v>587</v>
      </c>
      <c r="AO153" s="26" t="s">
        <v>317</v>
      </c>
      <c r="AP153" s="26" t="s">
        <v>193</v>
      </c>
      <c r="AQ153" s="26" t="s">
        <v>587</v>
      </c>
      <c r="AR153" s="26" t="s">
        <v>147</v>
      </c>
      <c r="AS153" s="26">
        <v>6</v>
      </c>
      <c r="AT153" s="26">
        <v>6</v>
      </c>
      <c r="AU153" s="26" t="s">
        <v>169</v>
      </c>
      <c r="AV153" s="26">
        <f t="shared" ref="AV153:AV161" si="13">112*1000</f>
        <v>112000</v>
      </c>
      <c r="AX153" s="26">
        <f t="shared" ref="AX153:AX161" si="14">50/0.96</f>
        <v>52.083333333333336</v>
      </c>
      <c r="AY153" s="63"/>
      <c r="BJ153" s="26">
        <f>37.9*0.00061*100</f>
        <v>2.3118999999999996</v>
      </c>
      <c r="BK153" s="26">
        <f>39.5*0.00061*100</f>
        <v>2.4095</v>
      </c>
      <c r="BL153" s="26" t="s">
        <v>1852</v>
      </c>
      <c r="BM153" s="26">
        <f>BJ153/12.6*10000</f>
        <v>1834.8412698412696</v>
      </c>
      <c r="BN153" s="26">
        <f>BK153/11.8*10000</f>
        <v>2041.9491525423728</v>
      </c>
      <c r="BO153" s="26" t="s">
        <v>916</v>
      </c>
      <c r="EJ153" s="12"/>
      <c r="EL153" s="15"/>
      <c r="EY153" s="26">
        <f>178*0.61/24</f>
        <v>4.5241666666666669</v>
      </c>
      <c r="EZ153" s="26">
        <f t="shared" ref="EZ153:EZ156" si="15">214*0.61/24</f>
        <v>5.439166666666666</v>
      </c>
      <c r="FH153" s="26">
        <f>815*1000000/1627500</f>
        <v>500.76804915514595</v>
      </c>
      <c r="FI153" s="26">
        <f t="shared" ref="FI153:FI156" si="16">987*1000000/1627500</f>
        <v>606.45161290322585</v>
      </c>
      <c r="FK153" s="26">
        <f>75*1000000/1627500</f>
        <v>46.082949308755758</v>
      </c>
      <c r="FL153" s="26">
        <f t="shared" ref="FL153:FL156" si="17">125*1000000/1627500</f>
        <v>76.804915514592935</v>
      </c>
      <c r="FR153" s="26" t="s">
        <v>330</v>
      </c>
      <c r="FT153" s="26">
        <v>13</v>
      </c>
    </row>
    <row r="154" spans="1:176" s="26" customFormat="1" x14ac:dyDescent="0.25">
      <c r="A154" s="26">
        <v>13</v>
      </c>
      <c r="B154" s="26" t="s">
        <v>303</v>
      </c>
      <c r="C154" s="26" t="s">
        <v>313</v>
      </c>
      <c r="D154" s="26">
        <v>1991</v>
      </c>
      <c r="E154" s="26">
        <v>1987</v>
      </c>
      <c r="F154" s="37" t="s">
        <v>314</v>
      </c>
      <c r="G154" s="26" t="s">
        <v>315</v>
      </c>
      <c r="H154" s="26">
        <v>50.53</v>
      </c>
      <c r="I154" s="26">
        <f t="shared" si="11"/>
        <v>-103.67</v>
      </c>
      <c r="J154" s="26">
        <v>579.1</v>
      </c>
      <c r="P154" s="52">
        <v>1</v>
      </c>
      <c r="Q154" s="52"/>
      <c r="R154" s="52"/>
      <c r="S154" s="52" t="s">
        <v>1558</v>
      </c>
      <c r="T154" s="52" t="s">
        <v>1558</v>
      </c>
      <c r="U154" s="52" t="s">
        <v>1558</v>
      </c>
      <c r="V154" s="52" t="s">
        <v>1905</v>
      </c>
      <c r="W154" s="26">
        <f t="shared" si="12"/>
        <v>1.085</v>
      </c>
      <c r="X154" s="26">
        <v>16.3</v>
      </c>
      <c r="Y154" s="26">
        <v>20.6</v>
      </c>
      <c r="Z154" s="26" t="s">
        <v>894</v>
      </c>
      <c r="AD154" s="26" t="s">
        <v>1479</v>
      </c>
      <c r="AE154" s="26" t="s">
        <v>316</v>
      </c>
      <c r="AF154" s="152" t="s">
        <v>666</v>
      </c>
      <c r="AG154" s="26" t="s">
        <v>1716</v>
      </c>
      <c r="AH154" s="154" t="s">
        <v>144</v>
      </c>
      <c r="AI154" s="26" t="s">
        <v>1554</v>
      </c>
      <c r="AJ154" s="26" t="s">
        <v>326</v>
      </c>
      <c r="AK154" s="26" t="s">
        <v>587</v>
      </c>
      <c r="AO154" s="26" t="s">
        <v>193</v>
      </c>
      <c r="AP154" s="26" t="s">
        <v>193</v>
      </c>
      <c r="AQ154" s="26" t="s">
        <v>587</v>
      </c>
      <c r="AR154" s="26" t="s">
        <v>147</v>
      </c>
      <c r="AS154" s="26">
        <v>6</v>
      </c>
      <c r="AT154" s="26">
        <v>6</v>
      </c>
      <c r="AU154" s="26" t="s">
        <v>169</v>
      </c>
      <c r="AV154" s="26">
        <f t="shared" si="13"/>
        <v>112000</v>
      </c>
      <c r="AX154" s="26">
        <f t="shared" si="14"/>
        <v>52.083333333333336</v>
      </c>
      <c r="AY154" s="63"/>
      <c r="BJ154" s="26">
        <f>36.4*0.00061*100</f>
        <v>2.2203999999999997</v>
      </c>
      <c r="BK154" s="26">
        <f t="shared" ref="BK154:BK156" si="18">39.5*0.00061*100</f>
        <v>2.4095</v>
      </c>
      <c r="BL154" s="26" t="s">
        <v>1852</v>
      </c>
      <c r="BM154" s="26">
        <f>BJ154/12.5*10000</f>
        <v>1776.32</v>
      </c>
      <c r="BN154" s="26">
        <f>BK154/11.8*10000</f>
        <v>2041.9491525423728</v>
      </c>
      <c r="BO154" s="26" t="s">
        <v>916</v>
      </c>
      <c r="EJ154" s="12"/>
      <c r="EL154" s="15"/>
      <c r="EY154" s="26">
        <f>200*0.61/24</f>
        <v>5.083333333333333</v>
      </c>
      <c r="EZ154" s="26">
        <f t="shared" si="15"/>
        <v>5.439166666666666</v>
      </c>
      <c r="FH154" s="26">
        <f>804*1000000/1627500</f>
        <v>494.00921658986175</v>
      </c>
      <c r="FI154" s="26">
        <f t="shared" si="16"/>
        <v>606.45161290322585</v>
      </c>
      <c r="FK154" s="26">
        <f>89*1000000/1627500</f>
        <v>54.685099846390166</v>
      </c>
      <c r="FL154" s="26">
        <f t="shared" si="17"/>
        <v>76.804915514592935</v>
      </c>
      <c r="FR154" s="26" t="s">
        <v>330</v>
      </c>
      <c r="FT154" s="26">
        <v>13</v>
      </c>
    </row>
    <row r="155" spans="1:176" s="26" customFormat="1" x14ac:dyDescent="0.25">
      <c r="A155" s="26">
        <v>13</v>
      </c>
      <c r="B155" s="26" t="s">
        <v>303</v>
      </c>
      <c r="C155" s="26" t="s">
        <v>313</v>
      </c>
      <c r="D155" s="26">
        <v>1991</v>
      </c>
      <c r="E155" s="26">
        <v>1987</v>
      </c>
      <c r="F155" s="37" t="s">
        <v>314</v>
      </c>
      <c r="G155" s="26" t="s">
        <v>315</v>
      </c>
      <c r="H155" s="26">
        <v>50.53</v>
      </c>
      <c r="I155" s="26">
        <f t="shared" si="11"/>
        <v>-103.67</v>
      </c>
      <c r="J155" s="26">
        <v>579.1</v>
      </c>
      <c r="P155" s="52">
        <v>1</v>
      </c>
      <c r="Q155" s="52"/>
      <c r="R155" s="52"/>
      <c r="S155" s="52" t="s">
        <v>1558</v>
      </c>
      <c r="T155" s="52" t="s">
        <v>1558</v>
      </c>
      <c r="U155" s="52" t="s">
        <v>1558</v>
      </c>
      <c r="V155" s="52" t="s">
        <v>1905</v>
      </c>
      <c r="W155" s="26">
        <f t="shared" si="12"/>
        <v>1.085</v>
      </c>
      <c r="X155" s="26">
        <v>16.3</v>
      </c>
      <c r="Y155" s="26">
        <v>20.6</v>
      </c>
      <c r="Z155" s="26" t="s">
        <v>894</v>
      </c>
      <c r="AD155" s="26" t="s">
        <v>1479</v>
      </c>
      <c r="AE155" s="26" t="s">
        <v>316</v>
      </c>
      <c r="AF155" s="152" t="s">
        <v>666</v>
      </c>
      <c r="AG155" s="26" t="s">
        <v>1716</v>
      </c>
      <c r="AH155" s="154" t="s">
        <v>144</v>
      </c>
      <c r="AI155" s="26" t="s">
        <v>1554</v>
      </c>
      <c r="AJ155" s="26" t="s">
        <v>326</v>
      </c>
      <c r="AK155" s="26" t="s">
        <v>587</v>
      </c>
      <c r="AO155" s="26" t="s">
        <v>317</v>
      </c>
      <c r="AP155" s="26" t="s">
        <v>193</v>
      </c>
      <c r="AQ155" s="26" t="s">
        <v>587</v>
      </c>
      <c r="AR155" s="26" t="s">
        <v>147</v>
      </c>
      <c r="AS155" s="26">
        <v>6</v>
      </c>
      <c r="AT155" s="26">
        <v>6</v>
      </c>
      <c r="AU155" s="26" t="s">
        <v>169</v>
      </c>
      <c r="AV155" s="26">
        <f t="shared" si="13"/>
        <v>112000</v>
      </c>
      <c r="AX155" s="26">
        <f t="shared" si="14"/>
        <v>52.083333333333336</v>
      </c>
      <c r="AY155" s="63"/>
      <c r="BJ155" s="26">
        <f>38.5*0.00061*100</f>
        <v>2.3485</v>
      </c>
      <c r="BK155" s="26">
        <f t="shared" si="18"/>
        <v>2.4095</v>
      </c>
      <c r="BL155" s="26" t="s">
        <v>1852</v>
      </c>
      <c r="BM155" s="26">
        <f>BJ155/11.9*10000</f>
        <v>1973.5294117647059</v>
      </c>
      <c r="BN155" s="26">
        <f>BK155/11.8*10000</f>
        <v>2041.9491525423728</v>
      </c>
      <c r="BO155" s="26" t="s">
        <v>916</v>
      </c>
      <c r="EJ155" s="12"/>
      <c r="EL155" s="15"/>
      <c r="EY155" s="26">
        <f>193*0.61/24</f>
        <v>4.9054166666666665</v>
      </c>
      <c r="EZ155" s="26">
        <f t="shared" si="15"/>
        <v>5.439166666666666</v>
      </c>
      <c r="FH155" s="26">
        <f>891*1000000/1627500</f>
        <v>547.46543778801845</v>
      </c>
      <c r="FI155" s="26">
        <f t="shared" si="16"/>
        <v>606.45161290322585</v>
      </c>
      <c r="FK155" s="26">
        <f>88*1000000/1627500</f>
        <v>54.070660522273428</v>
      </c>
      <c r="FL155" s="26">
        <f t="shared" si="17"/>
        <v>76.804915514592935</v>
      </c>
      <c r="FR155" s="26" t="s">
        <v>330</v>
      </c>
      <c r="FT155" s="26">
        <v>13</v>
      </c>
    </row>
    <row r="156" spans="1:176" s="26" customFormat="1" x14ac:dyDescent="0.25">
      <c r="A156" s="26">
        <v>13</v>
      </c>
      <c r="B156" s="26" t="s">
        <v>303</v>
      </c>
      <c r="C156" s="26" t="s">
        <v>313</v>
      </c>
      <c r="D156" s="26">
        <v>1991</v>
      </c>
      <c r="E156" s="26">
        <v>1987</v>
      </c>
      <c r="F156" s="37" t="s">
        <v>314</v>
      </c>
      <c r="G156" s="26" t="s">
        <v>315</v>
      </c>
      <c r="H156" s="26">
        <v>50.53</v>
      </c>
      <c r="I156" s="26">
        <f t="shared" si="11"/>
        <v>-103.67</v>
      </c>
      <c r="J156" s="26">
        <v>579.1</v>
      </c>
      <c r="P156" s="52">
        <v>1</v>
      </c>
      <c r="Q156" s="52"/>
      <c r="R156" s="52"/>
      <c r="S156" s="52" t="s">
        <v>1558</v>
      </c>
      <c r="T156" s="52" t="s">
        <v>1558</v>
      </c>
      <c r="U156" s="52" t="s">
        <v>1558</v>
      </c>
      <c r="V156" s="52" t="s">
        <v>1905</v>
      </c>
      <c r="W156" s="26">
        <f t="shared" si="12"/>
        <v>1.085</v>
      </c>
      <c r="X156" s="26">
        <v>16.3</v>
      </c>
      <c r="Y156" s="26">
        <v>20.6</v>
      </c>
      <c r="Z156" s="26" t="s">
        <v>894</v>
      </c>
      <c r="AD156" s="26" t="s">
        <v>1479</v>
      </c>
      <c r="AE156" s="26" t="s">
        <v>316</v>
      </c>
      <c r="AF156" s="152" t="s">
        <v>666</v>
      </c>
      <c r="AG156" s="26" t="s">
        <v>1716</v>
      </c>
      <c r="AH156" s="154" t="s">
        <v>144</v>
      </c>
      <c r="AI156" s="26" t="s">
        <v>1554</v>
      </c>
      <c r="AJ156" s="26" t="s">
        <v>326</v>
      </c>
      <c r="AK156" s="26" t="s">
        <v>587</v>
      </c>
      <c r="AO156" s="26" t="s">
        <v>319</v>
      </c>
      <c r="AP156" s="26" t="s">
        <v>193</v>
      </c>
      <c r="AQ156" s="26" t="s">
        <v>587</v>
      </c>
      <c r="AR156" s="26" t="s">
        <v>147</v>
      </c>
      <c r="AS156" s="26">
        <v>6</v>
      </c>
      <c r="AT156" s="26">
        <v>6</v>
      </c>
      <c r="AU156" s="26" t="s">
        <v>169</v>
      </c>
      <c r="AV156" s="26">
        <f t="shared" si="13"/>
        <v>112000</v>
      </c>
      <c r="AX156" s="26">
        <f t="shared" si="14"/>
        <v>52.083333333333336</v>
      </c>
      <c r="AY156" s="63"/>
      <c r="BJ156" s="26">
        <f>38.2*0.00061*100</f>
        <v>2.3302</v>
      </c>
      <c r="BK156" s="26">
        <f t="shared" si="18"/>
        <v>2.4095</v>
      </c>
      <c r="BL156" s="26" t="s">
        <v>1852</v>
      </c>
      <c r="BM156" s="26">
        <f>BJ156/12.7*10000</f>
        <v>1834.8031496062995</v>
      </c>
      <c r="BN156" s="26">
        <f>BK156/11.8*10000</f>
        <v>2041.9491525423728</v>
      </c>
      <c r="BO156" s="26" t="s">
        <v>916</v>
      </c>
      <c r="EJ156" s="12"/>
      <c r="EL156" s="15"/>
      <c r="EY156" s="26">
        <f>168*0.61/24</f>
        <v>4.2700000000000005</v>
      </c>
      <c r="EZ156" s="26">
        <f t="shared" si="15"/>
        <v>5.439166666666666</v>
      </c>
      <c r="FH156" s="26">
        <f>833*1000000/1627500</f>
        <v>511.8279569892473</v>
      </c>
      <c r="FI156" s="26">
        <f t="shared" si="16"/>
        <v>606.45161290322585</v>
      </c>
      <c r="FK156" s="26">
        <f>80*1000000/1627500</f>
        <v>49.155145929339476</v>
      </c>
      <c r="FL156" s="26">
        <f t="shared" si="17"/>
        <v>76.804915514592935</v>
      </c>
      <c r="FR156" s="26" t="s">
        <v>330</v>
      </c>
      <c r="FT156" s="26">
        <v>13</v>
      </c>
    </row>
    <row r="157" spans="1:176" s="35" customFormat="1" x14ac:dyDescent="0.25">
      <c r="A157" s="35">
        <v>13</v>
      </c>
      <c r="B157" s="35" t="s">
        <v>303</v>
      </c>
      <c r="C157" s="35" t="s">
        <v>313</v>
      </c>
      <c r="D157" s="35">
        <v>1991</v>
      </c>
      <c r="E157" s="35">
        <v>1987</v>
      </c>
      <c r="F157" s="36" t="s">
        <v>314</v>
      </c>
      <c r="G157" s="35" t="s">
        <v>315</v>
      </c>
      <c r="H157" s="35">
        <v>50.53</v>
      </c>
      <c r="I157" s="35">
        <f t="shared" si="11"/>
        <v>-103.67</v>
      </c>
      <c r="J157" s="35">
        <v>579.1</v>
      </c>
      <c r="P157" s="54">
        <v>1</v>
      </c>
      <c r="Q157" s="54"/>
      <c r="R157" s="54"/>
      <c r="S157" s="54" t="s">
        <v>1558</v>
      </c>
      <c r="T157" s="54" t="s">
        <v>1558</v>
      </c>
      <c r="U157" s="54" t="s">
        <v>1558</v>
      </c>
      <c r="V157" s="54" t="s">
        <v>1905</v>
      </c>
      <c r="W157" s="35">
        <f>(0.95+1.22)/2</f>
        <v>1.085</v>
      </c>
      <c r="X157" s="35">
        <v>16.3</v>
      </c>
      <c r="Y157" s="35">
        <v>20.6</v>
      </c>
      <c r="Z157" s="35" t="s">
        <v>894</v>
      </c>
      <c r="AD157" s="35" t="s">
        <v>1479</v>
      </c>
      <c r="AE157" s="35" t="s">
        <v>316</v>
      </c>
      <c r="AF157" s="152" t="s">
        <v>666</v>
      </c>
      <c r="AG157" s="35" t="s">
        <v>1716</v>
      </c>
      <c r="AH157" s="154" t="s">
        <v>144</v>
      </c>
      <c r="AI157" s="35" t="s">
        <v>318</v>
      </c>
      <c r="AJ157" s="35" t="s">
        <v>325</v>
      </c>
      <c r="AK157" s="35" t="s">
        <v>587</v>
      </c>
      <c r="AO157" s="35" t="s">
        <v>193</v>
      </c>
      <c r="AP157" s="26" t="s">
        <v>193</v>
      </c>
      <c r="AQ157" s="35" t="s">
        <v>212</v>
      </c>
      <c r="AR157" s="35" t="s">
        <v>147</v>
      </c>
      <c r="AS157" s="35">
        <v>6</v>
      </c>
      <c r="AT157" s="35">
        <v>6</v>
      </c>
      <c r="AU157" s="35" t="s">
        <v>169</v>
      </c>
      <c r="AV157" s="35">
        <f t="shared" si="13"/>
        <v>112000</v>
      </c>
      <c r="AX157" s="35">
        <f t="shared" si="14"/>
        <v>52.083333333333336</v>
      </c>
      <c r="AY157" s="63"/>
      <c r="BJ157" s="35">
        <f>36.3*0.00061*100</f>
        <v>2.2142999999999997</v>
      </c>
      <c r="BK157" s="35">
        <f>39.9*0.00061*100</f>
        <v>2.4339</v>
      </c>
      <c r="BL157" s="35" t="s">
        <v>1852</v>
      </c>
      <c r="BM157" s="35">
        <f>BJ157/12.5*10000</f>
        <v>1771.4399999999996</v>
      </c>
      <c r="BN157" s="35">
        <f>BK157/12*10000</f>
        <v>2028.25</v>
      </c>
      <c r="BO157" s="35" t="s">
        <v>916</v>
      </c>
      <c r="EJ157" s="12"/>
      <c r="EL157" s="15"/>
      <c r="EY157" s="35">
        <f>184*0.61/24</f>
        <v>4.6766666666666667</v>
      </c>
      <c r="EZ157" s="35">
        <f>199*0.61/24</f>
        <v>5.0579166666666664</v>
      </c>
      <c r="FH157" s="35">
        <f>905*1000000/1627500</f>
        <v>556.06758832565288</v>
      </c>
      <c r="FI157" s="35">
        <f>1094*1000000/1627500</f>
        <v>672.19662058371739</v>
      </c>
      <c r="FK157" s="35">
        <v>48.540706605222702</v>
      </c>
      <c r="FL157" s="35">
        <f>124*1000000/1627500</f>
        <v>76.19047619047619</v>
      </c>
      <c r="FR157" s="35" t="s">
        <v>330</v>
      </c>
      <c r="FT157" s="35">
        <v>13</v>
      </c>
    </row>
    <row r="158" spans="1:176" s="35" customFormat="1" x14ac:dyDescent="0.25">
      <c r="A158" s="35">
        <v>13</v>
      </c>
      <c r="B158" s="35" t="s">
        <v>303</v>
      </c>
      <c r="C158" s="35" t="s">
        <v>313</v>
      </c>
      <c r="D158" s="35">
        <v>1991</v>
      </c>
      <c r="E158" s="35">
        <v>1987</v>
      </c>
      <c r="F158" s="36" t="s">
        <v>314</v>
      </c>
      <c r="G158" s="35" t="s">
        <v>315</v>
      </c>
      <c r="H158" s="35">
        <v>50.53</v>
      </c>
      <c r="I158" s="35">
        <f t="shared" si="11"/>
        <v>-103.67</v>
      </c>
      <c r="J158" s="35">
        <v>579.1</v>
      </c>
      <c r="P158" s="54">
        <v>1</v>
      </c>
      <c r="Q158" s="54"/>
      <c r="R158" s="54"/>
      <c r="S158" s="54" t="s">
        <v>1558</v>
      </c>
      <c r="T158" s="54" t="s">
        <v>1558</v>
      </c>
      <c r="U158" s="54" t="s">
        <v>1558</v>
      </c>
      <c r="V158" s="54" t="s">
        <v>1905</v>
      </c>
      <c r="W158" s="35">
        <f t="shared" si="12"/>
        <v>1.085</v>
      </c>
      <c r="X158" s="35">
        <v>16.3</v>
      </c>
      <c r="Y158" s="35">
        <v>20.6</v>
      </c>
      <c r="Z158" s="35" t="s">
        <v>894</v>
      </c>
      <c r="AD158" s="35" t="s">
        <v>1479</v>
      </c>
      <c r="AE158" s="35" t="s">
        <v>316</v>
      </c>
      <c r="AF158" s="152" t="s">
        <v>666</v>
      </c>
      <c r="AG158" s="35" t="s">
        <v>1716</v>
      </c>
      <c r="AH158" s="154" t="s">
        <v>144</v>
      </c>
      <c r="AI158" s="35" t="s">
        <v>318</v>
      </c>
      <c r="AJ158" s="35" t="s">
        <v>325</v>
      </c>
      <c r="AK158" s="35" t="s">
        <v>587</v>
      </c>
      <c r="AO158" s="35" t="s">
        <v>317</v>
      </c>
      <c r="AP158" s="26" t="s">
        <v>193</v>
      </c>
      <c r="AQ158" s="35" t="s">
        <v>587</v>
      </c>
      <c r="AR158" s="35" t="s">
        <v>147</v>
      </c>
      <c r="AS158" s="35">
        <v>6</v>
      </c>
      <c r="AT158" s="35">
        <v>6</v>
      </c>
      <c r="AU158" s="35" t="s">
        <v>169</v>
      </c>
      <c r="AV158" s="35">
        <f t="shared" si="13"/>
        <v>112000</v>
      </c>
      <c r="AX158" s="35">
        <f t="shared" si="14"/>
        <v>52.083333333333336</v>
      </c>
      <c r="AY158" s="63"/>
      <c r="BJ158" s="35">
        <f>37.9*0.00061*100</f>
        <v>2.3118999999999996</v>
      </c>
      <c r="BK158" s="35">
        <f t="shared" ref="BK158:BK161" si="19">39.9*0.00061*100</f>
        <v>2.4339</v>
      </c>
      <c r="BL158" s="35" t="s">
        <v>1852</v>
      </c>
      <c r="BM158" s="35">
        <f>BJ158/12.6*10000</f>
        <v>1834.8412698412696</v>
      </c>
      <c r="BN158" s="35">
        <f>BK158/12*10000</f>
        <v>2028.25</v>
      </c>
      <c r="BO158" s="35" t="s">
        <v>916</v>
      </c>
      <c r="EJ158" s="12"/>
      <c r="EL158" s="15"/>
      <c r="EY158" s="35">
        <f>178*0.61/24</f>
        <v>4.5241666666666669</v>
      </c>
      <c r="EZ158" s="35">
        <f t="shared" ref="EZ158:EZ161" si="20">199*0.61/24</f>
        <v>5.0579166666666664</v>
      </c>
      <c r="FH158" s="35">
        <f>815*1000000/1627500</f>
        <v>500.76804915514595</v>
      </c>
      <c r="FI158" s="35">
        <f t="shared" ref="FI158:FI161" si="21">1094*1000000/1627500</f>
        <v>672.19662058371739</v>
      </c>
      <c r="FK158" s="35">
        <v>46.082949308755758</v>
      </c>
      <c r="FL158" s="35">
        <f t="shared" ref="FL158:FL161" si="22">124*1000000/1627500</f>
        <v>76.19047619047619</v>
      </c>
      <c r="FR158" s="35" t="s">
        <v>330</v>
      </c>
      <c r="FT158" s="35">
        <v>13</v>
      </c>
    </row>
    <row r="159" spans="1:176" s="35" customFormat="1" x14ac:dyDescent="0.25">
      <c r="A159" s="35">
        <v>13</v>
      </c>
      <c r="B159" s="35" t="s">
        <v>303</v>
      </c>
      <c r="C159" s="35" t="s">
        <v>313</v>
      </c>
      <c r="D159" s="35">
        <v>1991</v>
      </c>
      <c r="E159" s="35">
        <v>1987</v>
      </c>
      <c r="F159" s="36" t="s">
        <v>314</v>
      </c>
      <c r="G159" s="35" t="s">
        <v>315</v>
      </c>
      <c r="H159" s="35">
        <v>50.53</v>
      </c>
      <c r="I159" s="35">
        <f t="shared" si="11"/>
        <v>-103.67</v>
      </c>
      <c r="J159" s="35">
        <v>579.1</v>
      </c>
      <c r="P159" s="54">
        <v>1</v>
      </c>
      <c r="Q159" s="54"/>
      <c r="R159" s="54"/>
      <c r="S159" s="54" t="s">
        <v>1558</v>
      </c>
      <c r="T159" s="54" t="s">
        <v>1558</v>
      </c>
      <c r="U159" s="54" t="s">
        <v>1558</v>
      </c>
      <c r="V159" s="54" t="s">
        <v>1905</v>
      </c>
      <c r="W159" s="35">
        <f t="shared" si="12"/>
        <v>1.085</v>
      </c>
      <c r="X159" s="35">
        <v>16.3</v>
      </c>
      <c r="Y159" s="35">
        <v>20.6</v>
      </c>
      <c r="Z159" s="35" t="s">
        <v>894</v>
      </c>
      <c r="AD159" s="35" t="s">
        <v>1479</v>
      </c>
      <c r="AE159" s="35" t="s">
        <v>316</v>
      </c>
      <c r="AF159" s="152" t="s">
        <v>666</v>
      </c>
      <c r="AG159" s="35" t="s">
        <v>1716</v>
      </c>
      <c r="AH159" s="154" t="s">
        <v>144</v>
      </c>
      <c r="AI159" s="35" t="s">
        <v>1554</v>
      </c>
      <c r="AJ159" s="35" t="s">
        <v>325</v>
      </c>
      <c r="AK159" s="35" t="s">
        <v>587</v>
      </c>
      <c r="AO159" s="35" t="s">
        <v>193</v>
      </c>
      <c r="AP159" s="26" t="s">
        <v>193</v>
      </c>
      <c r="AQ159" s="35" t="s">
        <v>587</v>
      </c>
      <c r="AR159" s="35" t="s">
        <v>147</v>
      </c>
      <c r="AS159" s="35">
        <v>6</v>
      </c>
      <c r="AT159" s="35">
        <v>6</v>
      </c>
      <c r="AU159" s="35" t="s">
        <v>169</v>
      </c>
      <c r="AV159" s="35">
        <f t="shared" si="13"/>
        <v>112000</v>
      </c>
      <c r="AX159" s="35">
        <f t="shared" si="14"/>
        <v>52.083333333333336</v>
      </c>
      <c r="AY159" s="63"/>
      <c r="BJ159" s="35">
        <f>36.4*0.00061*100</f>
        <v>2.2203999999999997</v>
      </c>
      <c r="BK159" s="35">
        <f t="shared" si="19"/>
        <v>2.4339</v>
      </c>
      <c r="BL159" s="35" t="s">
        <v>1852</v>
      </c>
      <c r="BM159" s="35">
        <f>BJ159/12.5*10000</f>
        <v>1776.32</v>
      </c>
      <c r="BN159" s="35">
        <f>BK159/12*10000</f>
        <v>2028.25</v>
      </c>
      <c r="BO159" s="35" t="s">
        <v>916</v>
      </c>
      <c r="EJ159" s="12"/>
      <c r="EL159" s="15"/>
      <c r="EY159" s="35">
        <f>200*0.61/24</f>
        <v>5.083333333333333</v>
      </c>
      <c r="EZ159" s="35">
        <f t="shared" si="20"/>
        <v>5.0579166666666664</v>
      </c>
      <c r="FH159" s="35">
        <f>804*1000000/1627500</f>
        <v>494.00921658986175</v>
      </c>
      <c r="FI159" s="35">
        <f t="shared" si="21"/>
        <v>672.19662058371739</v>
      </c>
      <c r="FK159" s="35">
        <v>54.685099846390166</v>
      </c>
      <c r="FL159" s="35">
        <f t="shared" si="22"/>
        <v>76.19047619047619</v>
      </c>
      <c r="FR159" s="35" t="s">
        <v>330</v>
      </c>
      <c r="FT159" s="35">
        <v>13</v>
      </c>
    </row>
    <row r="160" spans="1:176" s="35" customFormat="1" x14ac:dyDescent="0.25">
      <c r="A160" s="35">
        <v>13</v>
      </c>
      <c r="B160" s="35" t="s">
        <v>303</v>
      </c>
      <c r="C160" s="35" t="s">
        <v>313</v>
      </c>
      <c r="D160" s="35">
        <v>1991</v>
      </c>
      <c r="E160" s="35">
        <v>1987</v>
      </c>
      <c r="F160" s="36" t="s">
        <v>314</v>
      </c>
      <c r="G160" s="35" t="s">
        <v>315</v>
      </c>
      <c r="H160" s="35">
        <v>50.53</v>
      </c>
      <c r="I160" s="35">
        <f t="shared" si="11"/>
        <v>-103.67</v>
      </c>
      <c r="J160" s="35">
        <v>579.1</v>
      </c>
      <c r="P160" s="54">
        <v>1</v>
      </c>
      <c r="Q160" s="54"/>
      <c r="R160" s="54"/>
      <c r="S160" s="54" t="s">
        <v>1558</v>
      </c>
      <c r="T160" s="54" t="s">
        <v>1558</v>
      </c>
      <c r="U160" s="54" t="s">
        <v>1558</v>
      </c>
      <c r="V160" s="54" t="s">
        <v>1905</v>
      </c>
      <c r="W160" s="35">
        <f t="shared" si="12"/>
        <v>1.085</v>
      </c>
      <c r="X160" s="35">
        <v>16.3</v>
      </c>
      <c r="Y160" s="35">
        <v>20.6</v>
      </c>
      <c r="Z160" s="35" t="s">
        <v>894</v>
      </c>
      <c r="AD160" s="35" t="s">
        <v>1479</v>
      </c>
      <c r="AE160" s="35" t="s">
        <v>316</v>
      </c>
      <c r="AF160" s="152" t="s">
        <v>666</v>
      </c>
      <c r="AG160" s="35" t="s">
        <v>1716</v>
      </c>
      <c r="AH160" s="154" t="s">
        <v>144</v>
      </c>
      <c r="AI160" s="35" t="s">
        <v>1554</v>
      </c>
      <c r="AJ160" s="35" t="s">
        <v>325</v>
      </c>
      <c r="AK160" s="35" t="s">
        <v>587</v>
      </c>
      <c r="AO160" s="35" t="s">
        <v>317</v>
      </c>
      <c r="AP160" s="26" t="s">
        <v>193</v>
      </c>
      <c r="AQ160" s="35" t="s">
        <v>587</v>
      </c>
      <c r="AR160" s="35" t="s">
        <v>147</v>
      </c>
      <c r="AS160" s="35">
        <v>6</v>
      </c>
      <c r="AT160" s="35">
        <v>6</v>
      </c>
      <c r="AU160" s="35" t="s">
        <v>169</v>
      </c>
      <c r="AV160" s="35">
        <f t="shared" si="13"/>
        <v>112000</v>
      </c>
      <c r="AX160" s="35">
        <f t="shared" si="14"/>
        <v>52.083333333333336</v>
      </c>
      <c r="AY160" s="63"/>
      <c r="BJ160" s="35">
        <f>38.5*0.00061*100</f>
        <v>2.3485</v>
      </c>
      <c r="BK160" s="35">
        <f t="shared" si="19"/>
        <v>2.4339</v>
      </c>
      <c r="BL160" s="35" t="s">
        <v>1852</v>
      </c>
      <c r="BM160" s="35">
        <f>BJ160/11.9*10000</f>
        <v>1973.5294117647059</v>
      </c>
      <c r="BN160" s="35">
        <f>BK160/12*10000</f>
        <v>2028.25</v>
      </c>
      <c r="BO160" s="35" t="s">
        <v>916</v>
      </c>
      <c r="EJ160" s="12"/>
      <c r="EL160" s="15"/>
      <c r="EY160" s="35">
        <f>193*0.61/24</f>
        <v>4.9054166666666665</v>
      </c>
      <c r="EZ160" s="35">
        <f t="shared" si="20"/>
        <v>5.0579166666666664</v>
      </c>
      <c r="FH160" s="35">
        <f>891*1000000/1627500</f>
        <v>547.46543778801845</v>
      </c>
      <c r="FI160" s="35">
        <f t="shared" si="21"/>
        <v>672.19662058371739</v>
      </c>
      <c r="FK160" s="35">
        <v>54.070660522273428</v>
      </c>
      <c r="FL160" s="35">
        <f t="shared" si="22"/>
        <v>76.19047619047619</v>
      </c>
      <c r="FR160" s="35" t="s">
        <v>330</v>
      </c>
      <c r="FT160" s="35">
        <v>13</v>
      </c>
    </row>
    <row r="161" spans="1:176" s="35" customFormat="1" x14ac:dyDescent="0.25">
      <c r="A161" s="35">
        <v>13</v>
      </c>
      <c r="B161" s="35" t="s">
        <v>303</v>
      </c>
      <c r="C161" s="35" t="s">
        <v>313</v>
      </c>
      <c r="D161" s="35">
        <v>1991</v>
      </c>
      <c r="E161" s="35">
        <v>1987</v>
      </c>
      <c r="F161" s="36" t="s">
        <v>314</v>
      </c>
      <c r="G161" s="35" t="s">
        <v>315</v>
      </c>
      <c r="H161" s="35">
        <v>50.53</v>
      </c>
      <c r="I161" s="35">
        <f t="shared" si="11"/>
        <v>-103.67</v>
      </c>
      <c r="J161" s="35">
        <v>579.1</v>
      </c>
      <c r="P161" s="54">
        <v>1</v>
      </c>
      <c r="Q161" s="54"/>
      <c r="R161" s="54"/>
      <c r="S161" s="54" t="s">
        <v>1558</v>
      </c>
      <c r="T161" s="54" t="s">
        <v>1558</v>
      </c>
      <c r="U161" s="54" t="s">
        <v>1558</v>
      </c>
      <c r="V161" s="54" t="s">
        <v>1905</v>
      </c>
      <c r="W161" s="35">
        <f t="shared" si="12"/>
        <v>1.085</v>
      </c>
      <c r="X161" s="35">
        <v>16.3</v>
      </c>
      <c r="Y161" s="35">
        <v>20.6</v>
      </c>
      <c r="Z161" s="35" t="s">
        <v>894</v>
      </c>
      <c r="AD161" s="35" t="s">
        <v>1479</v>
      </c>
      <c r="AE161" s="35" t="s">
        <v>316</v>
      </c>
      <c r="AF161" s="152" t="s">
        <v>666</v>
      </c>
      <c r="AG161" s="35" t="s">
        <v>1716</v>
      </c>
      <c r="AH161" s="154" t="s">
        <v>144</v>
      </c>
      <c r="AI161" s="35" t="s">
        <v>1554</v>
      </c>
      <c r="AJ161" s="35" t="s">
        <v>325</v>
      </c>
      <c r="AK161" s="35" t="s">
        <v>587</v>
      </c>
      <c r="AO161" s="35" t="s">
        <v>319</v>
      </c>
      <c r="AP161" s="26" t="s">
        <v>193</v>
      </c>
      <c r="AQ161" s="35" t="s">
        <v>587</v>
      </c>
      <c r="AR161" s="35" t="s">
        <v>147</v>
      </c>
      <c r="AS161" s="35">
        <v>6</v>
      </c>
      <c r="AT161" s="35">
        <v>6</v>
      </c>
      <c r="AU161" s="35" t="s">
        <v>169</v>
      </c>
      <c r="AV161" s="35">
        <f t="shared" si="13"/>
        <v>112000</v>
      </c>
      <c r="AX161" s="35">
        <f t="shared" si="14"/>
        <v>52.083333333333336</v>
      </c>
      <c r="AY161" s="63"/>
      <c r="BJ161" s="35">
        <f>38.2*0.00061*100</f>
        <v>2.3302</v>
      </c>
      <c r="BK161" s="35">
        <f t="shared" si="19"/>
        <v>2.4339</v>
      </c>
      <c r="BL161" s="35" t="s">
        <v>1852</v>
      </c>
      <c r="BM161" s="35">
        <f>BJ161/12.7*10000</f>
        <v>1834.8031496062995</v>
      </c>
      <c r="BN161" s="35">
        <f>BK161/12*10000</f>
        <v>2028.25</v>
      </c>
      <c r="BO161" s="35" t="s">
        <v>916</v>
      </c>
      <c r="EJ161" s="12"/>
      <c r="EL161" s="15"/>
      <c r="EY161" s="35">
        <f>168*0.61/24</f>
        <v>4.2700000000000005</v>
      </c>
      <c r="EZ161" s="35">
        <f t="shared" si="20"/>
        <v>5.0579166666666664</v>
      </c>
      <c r="FH161" s="35">
        <f>833*1000000/1627500</f>
        <v>511.8279569892473</v>
      </c>
      <c r="FI161" s="35">
        <f t="shared" si="21"/>
        <v>672.19662058371739</v>
      </c>
      <c r="FK161" s="35">
        <v>49.155145929339476</v>
      </c>
      <c r="FL161" s="35">
        <f t="shared" si="22"/>
        <v>76.19047619047619</v>
      </c>
      <c r="FR161" s="35" t="s">
        <v>330</v>
      </c>
      <c r="FT161" s="35">
        <v>13</v>
      </c>
    </row>
    <row r="162" spans="1:176" s="26" customFormat="1" x14ac:dyDescent="0.25">
      <c r="A162" s="26">
        <v>13</v>
      </c>
      <c r="B162" s="26" t="s">
        <v>303</v>
      </c>
      <c r="C162" s="26" t="s">
        <v>313</v>
      </c>
      <c r="D162" s="26">
        <v>1991</v>
      </c>
      <c r="E162" s="26">
        <v>1987</v>
      </c>
      <c r="F162" s="37" t="s">
        <v>314</v>
      </c>
      <c r="G162" s="26" t="s">
        <v>315</v>
      </c>
      <c r="H162" s="26">
        <v>50.53</v>
      </c>
      <c r="I162" s="26">
        <f t="shared" si="11"/>
        <v>-103.67</v>
      </c>
      <c r="J162" s="26">
        <v>579.1</v>
      </c>
      <c r="P162" s="52">
        <v>1</v>
      </c>
      <c r="Q162" s="52"/>
      <c r="R162" s="52"/>
      <c r="S162" s="52" t="s">
        <v>1558</v>
      </c>
      <c r="T162" s="52" t="s">
        <v>1558</v>
      </c>
      <c r="U162" s="52" t="s">
        <v>1558</v>
      </c>
      <c r="V162" s="52" t="s">
        <v>1905</v>
      </c>
      <c r="W162" s="26">
        <f>(0.95+1.22)/2</f>
        <v>1.085</v>
      </c>
      <c r="X162" s="26">
        <v>16.3</v>
      </c>
      <c r="Y162" s="26">
        <v>20.6</v>
      </c>
      <c r="Z162" s="26" t="s">
        <v>894</v>
      </c>
      <c r="AD162" s="26" t="s">
        <v>1479</v>
      </c>
      <c r="AE162" s="26" t="s">
        <v>1753</v>
      </c>
      <c r="AF162" s="152" t="s">
        <v>1762</v>
      </c>
      <c r="AG162" s="26" t="s">
        <v>1716</v>
      </c>
      <c r="AH162" s="154" t="s">
        <v>144</v>
      </c>
      <c r="AI162" s="26" t="s">
        <v>318</v>
      </c>
      <c r="AJ162" s="26" t="s">
        <v>327</v>
      </c>
      <c r="AK162" s="26" t="s">
        <v>587</v>
      </c>
      <c r="AO162" s="26" t="s">
        <v>193</v>
      </c>
      <c r="AP162" s="26" t="s">
        <v>193</v>
      </c>
      <c r="AQ162" s="26" t="s">
        <v>212</v>
      </c>
      <c r="AR162" s="26" t="s">
        <v>147</v>
      </c>
      <c r="AS162" s="26">
        <v>6</v>
      </c>
      <c r="AT162" s="26">
        <v>6</v>
      </c>
      <c r="AU162" s="26" t="s">
        <v>169</v>
      </c>
      <c r="AV162" s="26">
        <f>117*1000</f>
        <v>117000</v>
      </c>
      <c r="AX162" s="26">
        <f>49/1.47</f>
        <v>33.333333333333336</v>
      </c>
      <c r="AY162" s="63"/>
      <c r="BJ162" s="26">
        <f>36.3*0.00061*100</f>
        <v>2.2142999999999997</v>
      </c>
      <c r="BK162" s="26">
        <f>41.5*0.00061*100</f>
        <v>2.5314999999999999</v>
      </c>
      <c r="BL162" s="26" t="s">
        <v>1852</v>
      </c>
      <c r="BM162" s="26">
        <f>BJ162/12.5*10000</f>
        <v>1771.4399999999996</v>
      </c>
      <c r="BN162" s="26">
        <f>BK162/12.2*10000</f>
        <v>2075</v>
      </c>
      <c r="BO162" s="26" t="s">
        <v>916</v>
      </c>
      <c r="EJ162" s="12"/>
      <c r="EL162" s="15"/>
      <c r="EY162" s="26">
        <f>184*0.61/24</f>
        <v>4.6766666666666667</v>
      </c>
      <c r="EZ162" s="26">
        <f>227*0.61/24</f>
        <v>5.7695833333333333</v>
      </c>
      <c r="FH162" s="26">
        <f>905*1000000/1627500</f>
        <v>556.06758832565288</v>
      </c>
      <c r="FI162" s="26">
        <f>1074*1000000/1627500</f>
        <v>659.90783410138249</v>
      </c>
      <c r="FK162" s="26">
        <v>48.540706605222702</v>
      </c>
      <c r="FL162" s="26">
        <f>128*1000000/1627500</f>
        <v>78.64823348694317</v>
      </c>
      <c r="FR162" s="26" t="s">
        <v>330</v>
      </c>
      <c r="FT162" s="26">
        <v>13</v>
      </c>
    </row>
    <row r="163" spans="1:176" s="26" customFormat="1" x14ac:dyDescent="0.25">
      <c r="A163" s="26">
        <v>13</v>
      </c>
      <c r="B163" s="26" t="s">
        <v>303</v>
      </c>
      <c r="C163" s="26" t="s">
        <v>313</v>
      </c>
      <c r="D163" s="26">
        <v>1991</v>
      </c>
      <c r="E163" s="26">
        <v>1987</v>
      </c>
      <c r="F163" s="37" t="s">
        <v>314</v>
      </c>
      <c r="G163" s="26" t="s">
        <v>315</v>
      </c>
      <c r="H163" s="26">
        <v>50.53</v>
      </c>
      <c r="I163" s="26">
        <f t="shared" si="11"/>
        <v>-103.67</v>
      </c>
      <c r="J163" s="26">
        <v>579.1</v>
      </c>
      <c r="P163" s="52">
        <v>1</v>
      </c>
      <c r="Q163" s="52"/>
      <c r="R163" s="52"/>
      <c r="S163" s="52" t="s">
        <v>1558</v>
      </c>
      <c r="T163" s="52" t="s">
        <v>1558</v>
      </c>
      <c r="U163" s="52" t="s">
        <v>1558</v>
      </c>
      <c r="V163" s="52" t="s">
        <v>1905</v>
      </c>
      <c r="W163" s="26">
        <f t="shared" si="12"/>
        <v>1.085</v>
      </c>
      <c r="X163" s="26">
        <v>16.3</v>
      </c>
      <c r="Y163" s="26">
        <v>20.6</v>
      </c>
      <c r="Z163" s="26" t="s">
        <v>894</v>
      </c>
      <c r="AD163" s="26" t="s">
        <v>1479</v>
      </c>
      <c r="AE163" s="26" t="s">
        <v>1753</v>
      </c>
      <c r="AF163" s="152" t="s">
        <v>1762</v>
      </c>
      <c r="AG163" s="26" t="s">
        <v>1716</v>
      </c>
      <c r="AH163" s="154" t="s">
        <v>144</v>
      </c>
      <c r="AI163" s="26" t="s">
        <v>318</v>
      </c>
      <c r="AJ163" s="26" t="s">
        <v>327</v>
      </c>
      <c r="AK163" s="26" t="s">
        <v>587</v>
      </c>
      <c r="AO163" s="26" t="s">
        <v>317</v>
      </c>
      <c r="AP163" s="26" t="s">
        <v>193</v>
      </c>
      <c r="AQ163" s="26" t="s">
        <v>587</v>
      </c>
      <c r="AR163" s="26" t="s">
        <v>147</v>
      </c>
      <c r="AS163" s="26">
        <v>6</v>
      </c>
      <c r="AT163" s="26">
        <v>6</v>
      </c>
      <c r="AU163" s="26" t="s">
        <v>169</v>
      </c>
      <c r="AV163" s="26">
        <f t="shared" ref="AV163:AV171" si="23">117*1000</f>
        <v>117000</v>
      </c>
      <c r="AX163" s="26">
        <f t="shared" ref="AX163:AX171" si="24">49/1.47</f>
        <v>33.333333333333336</v>
      </c>
      <c r="AY163" s="63"/>
      <c r="BJ163" s="26">
        <f>37.9*0.00061*100</f>
        <v>2.3118999999999996</v>
      </c>
      <c r="BK163" s="26">
        <f t="shared" ref="BK163:BK166" si="25">41.5*0.00061*100</f>
        <v>2.5314999999999999</v>
      </c>
      <c r="BL163" s="26" t="s">
        <v>1852</v>
      </c>
      <c r="BM163" s="26">
        <f>BJ163/12.6*10000</f>
        <v>1834.8412698412696</v>
      </c>
      <c r="BN163" s="26">
        <f>BK163/12.2*10000</f>
        <v>2075</v>
      </c>
      <c r="BO163" s="26" t="s">
        <v>916</v>
      </c>
      <c r="EJ163" s="12"/>
      <c r="EL163" s="15"/>
      <c r="EY163" s="26">
        <f>178*0.61/24</f>
        <v>4.5241666666666669</v>
      </c>
      <c r="EZ163" s="26">
        <f t="shared" ref="EZ163:EZ166" si="26">227*0.61/24</f>
        <v>5.7695833333333333</v>
      </c>
      <c r="FH163" s="26">
        <f>815*1000000/1627500</f>
        <v>500.76804915514595</v>
      </c>
      <c r="FI163" s="26">
        <f t="shared" ref="FI163:FI166" si="27">1074*1000000/1627500</f>
        <v>659.90783410138249</v>
      </c>
      <c r="FK163" s="26">
        <v>46.082949308755758</v>
      </c>
      <c r="FL163" s="26">
        <f t="shared" ref="FL163:FL166" si="28">128*1000000/1627500</f>
        <v>78.64823348694317</v>
      </c>
      <c r="FR163" s="26" t="s">
        <v>330</v>
      </c>
      <c r="FT163" s="26">
        <v>13</v>
      </c>
    </row>
    <row r="164" spans="1:176" s="26" customFormat="1" x14ac:dyDescent="0.25">
      <c r="A164" s="26">
        <v>13</v>
      </c>
      <c r="B164" s="26" t="s">
        <v>303</v>
      </c>
      <c r="C164" s="26" t="s">
        <v>313</v>
      </c>
      <c r="D164" s="26">
        <v>1991</v>
      </c>
      <c r="E164" s="26">
        <v>1987</v>
      </c>
      <c r="F164" s="37" t="s">
        <v>314</v>
      </c>
      <c r="G164" s="26" t="s">
        <v>315</v>
      </c>
      <c r="H164" s="26">
        <v>50.53</v>
      </c>
      <c r="I164" s="26">
        <f t="shared" si="11"/>
        <v>-103.67</v>
      </c>
      <c r="J164" s="26">
        <v>579.1</v>
      </c>
      <c r="P164" s="52">
        <v>1</v>
      </c>
      <c r="Q164" s="52"/>
      <c r="R164" s="52"/>
      <c r="S164" s="52" t="s">
        <v>1558</v>
      </c>
      <c r="T164" s="52" t="s">
        <v>1558</v>
      </c>
      <c r="U164" s="52" t="s">
        <v>1558</v>
      </c>
      <c r="V164" s="52" t="s">
        <v>1905</v>
      </c>
      <c r="W164" s="26">
        <f t="shared" si="12"/>
        <v>1.085</v>
      </c>
      <c r="X164" s="26">
        <v>16.3</v>
      </c>
      <c r="Y164" s="26">
        <v>20.6</v>
      </c>
      <c r="Z164" s="26" t="s">
        <v>894</v>
      </c>
      <c r="AD164" s="26" t="s">
        <v>1479</v>
      </c>
      <c r="AE164" s="26" t="s">
        <v>1753</v>
      </c>
      <c r="AF164" s="152" t="s">
        <v>1762</v>
      </c>
      <c r="AG164" s="26" t="s">
        <v>1716</v>
      </c>
      <c r="AH164" s="154" t="s">
        <v>144</v>
      </c>
      <c r="AI164" s="26" t="s">
        <v>1554</v>
      </c>
      <c r="AJ164" s="26" t="s">
        <v>327</v>
      </c>
      <c r="AK164" s="26" t="s">
        <v>587</v>
      </c>
      <c r="AO164" s="26" t="s">
        <v>193</v>
      </c>
      <c r="AP164" s="26" t="s">
        <v>193</v>
      </c>
      <c r="AQ164" s="26" t="s">
        <v>587</v>
      </c>
      <c r="AR164" s="26" t="s">
        <v>147</v>
      </c>
      <c r="AS164" s="26">
        <v>6</v>
      </c>
      <c r="AT164" s="26">
        <v>6</v>
      </c>
      <c r="AU164" s="26" t="s">
        <v>169</v>
      </c>
      <c r="AV164" s="26">
        <f t="shared" si="23"/>
        <v>117000</v>
      </c>
      <c r="AX164" s="26">
        <f t="shared" si="24"/>
        <v>33.333333333333336</v>
      </c>
      <c r="AY164" s="63"/>
      <c r="BJ164" s="26">
        <f>36.4*0.00061*100</f>
        <v>2.2203999999999997</v>
      </c>
      <c r="BK164" s="26">
        <f t="shared" si="25"/>
        <v>2.5314999999999999</v>
      </c>
      <c r="BL164" s="26" t="s">
        <v>1852</v>
      </c>
      <c r="BM164" s="26">
        <f>BJ164/12.5*10000</f>
        <v>1776.32</v>
      </c>
      <c r="BN164" s="26">
        <f>BK164/12.2*10000</f>
        <v>2075</v>
      </c>
      <c r="BO164" s="26" t="s">
        <v>916</v>
      </c>
      <c r="EJ164" s="12"/>
      <c r="EL164" s="15"/>
      <c r="EY164" s="26">
        <f>200*0.61/24</f>
        <v>5.083333333333333</v>
      </c>
      <c r="EZ164" s="26">
        <f t="shared" si="26"/>
        <v>5.7695833333333333</v>
      </c>
      <c r="FH164" s="26">
        <f>804*1000000/1627500</f>
        <v>494.00921658986175</v>
      </c>
      <c r="FI164" s="26">
        <f t="shared" si="27"/>
        <v>659.90783410138249</v>
      </c>
      <c r="FK164" s="26">
        <v>54.685099846390166</v>
      </c>
      <c r="FL164" s="26">
        <f t="shared" si="28"/>
        <v>78.64823348694317</v>
      </c>
      <c r="FR164" s="26" t="s">
        <v>330</v>
      </c>
      <c r="FT164" s="26">
        <v>13</v>
      </c>
    </row>
    <row r="165" spans="1:176" s="26" customFormat="1" x14ac:dyDescent="0.25">
      <c r="A165" s="26">
        <v>13</v>
      </c>
      <c r="B165" s="26" t="s">
        <v>303</v>
      </c>
      <c r="C165" s="26" t="s">
        <v>313</v>
      </c>
      <c r="D165" s="26">
        <v>1991</v>
      </c>
      <c r="E165" s="26">
        <v>1987</v>
      </c>
      <c r="F165" s="37" t="s">
        <v>314</v>
      </c>
      <c r="G165" s="26" t="s">
        <v>315</v>
      </c>
      <c r="H165" s="26">
        <v>50.53</v>
      </c>
      <c r="I165" s="26">
        <f t="shared" si="11"/>
        <v>-103.67</v>
      </c>
      <c r="J165" s="26">
        <v>579.1</v>
      </c>
      <c r="P165" s="52">
        <v>1</v>
      </c>
      <c r="Q165" s="52"/>
      <c r="R165" s="52"/>
      <c r="S165" s="52" t="s">
        <v>1558</v>
      </c>
      <c r="T165" s="52" t="s">
        <v>1558</v>
      </c>
      <c r="U165" s="52" t="s">
        <v>1558</v>
      </c>
      <c r="V165" s="52" t="s">
        <v>1905</v>
      </c>
      <c r="W165" s="26">
        <f t="shared" si="12"/>
        <v>1.085</v>
      </c>
      <c r="X165" s="26">
        <v>16.3</v>
      </c>
      <c r="Y165" s="26">
        <v>20.6</v>
      </c>
      <c r="Z165" s="26" t="s">
        <v>894</v>
      </c>
      <c r="AD165" s="26" t="s">
        <v>1479</v>
      </c>
      <c r="AE165" s="26" t="s">
        <v>1753</v>
      </c>
      <c r="AF165" s="152" t="s">
        <v>1762</v>
      </c>
      <c r="AG165" s="26" t="s">
        <v>1716</v>
      </c>
      <c r="AH165" s="154" t="s">
        <v>144</v>
      </c>
      <c r="AI165" s="26" t="s">
        <v>1554</v>
      </c>
      <c r="AJ165" s="26" t="s">
        <v>327</v>
      </c>
      <c r="AK165" s="26" t="s">
        <v>587</v>
      </c>
      <c r="AO165" s="26" t="s">
        <v>317</v>
      </c>
      <c r="AP165" s="26" t="s">
        <v>193</v>
      </c>
      <c r="AQ165" s="26" t="s">
        <v>587</v>
      </c>
      <c r="AR165" s="26" t="s">
        <v>147</v>
      </c>
      <c r="AS165" s="26">
        <v>6</v>
      </c>
      <c r="AT165" s="26">
        <v>6</v>
      </c>
      <c r="AU165" s="26" t="s">
        <v>169</v>
      </c>
      <c r="AV165" s="26">
        <f t="shared" si="23"/>
        <v>117000</v>
      </c>
      <c r="AX165" s="26">
        <f t="shared" si="24"/>
        <v>33.333333333333336</v>
      </c>
      <c r="AY165" s="63"/>
      <c r="BJ165" s="26">
        <f>38.5*0.00061*100</f>
        <v>2.3485</v>
      </c>
      <c r="BK165" s="26">
        <f t="shared" si="25"/>
        <v>2.5314999999999999</v>
      </c>
      <c r="BL165" s="26" t="s">
        <v>1852</v>
      </c>
      <c r="BM165" s="26">
        <f>BJ165/11.9*10000</f>
        <v>1973.5294117647059</v>
      </c>
      <c r="BN165" s="26">
        <f>BK165/12.2*10000</f>
        <v>2075</v>
      </c>
      <c r="BO165" s="26" t="s">
        <v>916</v>
      </c>
      <c r="EJ165" s="12"/>
      <c r="EL165" s="15"/>
      <c r="EY165" s="26">
        <f>193*0.61/24</f>
        <v>4.9054166666666665</v>
      </c>
      <c r="EZ165" s="26">
        <f t="shared" si="26"/>
        <v>5.7695833333333333</v>
      </c>
      <c r="FH165" s="26">
        <f>891*1000000/1627500</f>
        <v>547.46543778801845</v>
      </c>
      <c r="FI165" s="26">
        <f t="shared" si="27"/>
        <v>659.90783410138249</v>
      </c>
      <c r="FK165" s="26">
        <v>54.070660522273428</v>
      </c>
      <c r="FL165" s="26">
        <f t="shared" si="28"/>
        <v>78.64823348694317</v>
      </c>
      <c r="FR165" s="26" t="s">
        <v>330</v>
      </c>
      <c r="FT165" s="26">
        <v>13</v>
      </c>
    </row>
    <row r="166" spans="1:176" s="26" customFormat="1" x14ac:dyDescent="0.25">
      <c r="A166" s="26">
        <v>13</v>
      </c>
      <c r="B166" s="26" t="s">
        <v>303</v>
      </c>
      <c r="C166" s="26" t="s">
        <v>313</v>
      </c>
      <c r="D166" s="26">
        <v>1991</v>
      </c>
      <c r="E166" s="26">
        <v>1987</v>
      </c>
      <c r="F166" s="37" t="s">
        <v>314</v>
      </c>
      <c r="G166" s="26" t="s">
        <v>315</v>
      </c>
      <c r="H166" s="26">
        <v>50.53</v>
      </c>
      <c r="I166" s="26">
        <f t="shared" si="11"/>
        <v>-103.67</v>
      </c>
      <c r="J166" s="26">
        <v>579.1</v>
      </c>
      <c r="P166" s="52">
        <v>1</v>
      </c>
      <c r="Q166" s="52"/>
      <c r="R166" s="52"/>
      <c r="S166" s="52" t="s">
        <v>1558</v>
      </c>
      <c r="T166" s="52" t="s">
        <v>1558</v>
      </c>
      <c r="U166" s="52" t="s">
        <v>1558</v>
      </c>
      <c r="V166" s="52" t="s">
        <v>1905</v>
      </c>
      <c r="W166" s="26">
        <f t="shared" si="12"/>
        <v>1.085</v>
      </c>
      <c r="X166" s="26">
        <v>16.3</v>
      </c>
      <c r="Y166" s="26">
        <v>20.6</v>
      </c>
      <c r="Z166" s="26" t="s">
        <v>894</v>
      </c>
      <c r="AD166" s="26" t="s">
        <v>1479</v>
      </c>
      <c r="AE166" s="26" t="s">
        <v>1753</v>
      </c>
      <c r="AF166" s="152" t="s">
        <v>1762</v>
      </c>
      <c r="AG166" s="26" t="s">
        <v>1716</v>
      </c>
      <c r="AH166" s="154" t="s">
        <v>144</v>
      </c>
      <c r="AI166" s="26" t="s">
        <v>1554</v>
      </c>
      <c r="AJ166" s="26" t="s">
        <v>327</v>
      </c>
      <c r="AK166" s="26" t="s">
        <v>587</v>
      </c>
      <c r="AO166" s="26" t="s">
        <v>319</v>
      </c>
      <c r="AP166" s="26" t="s">
        <v>193</v>
      </c>
      <c r="AQ166" s="26" t="s">
        <v>587</v>
      </c>
      <c r="AR166" s="26" t="s">
        <v>147</v>
      </c>
      <c r="AS166" s="26">
        <v>6</v>
      </c>
      <c r="AT166" s="26">
        <v>6</v>
      </c>
      <c r="AU166" s="26" t="s">
        <v>169</v>
      </c>
      <c r="AV166" s="26">
        <f t="shared" si="23"/>
        <v>117000</v>
      </c>
      <c r="AX166" s="26">
        <f t="shared" si="24"/>
        <v>33.333333333333336</v>
      </c>
      <c r="AY166" s="63"/>
      <c r="BJ166" s="26">
        <f>38.2*0.00061*100</f>
        <v>2.3302</v>
      </c>
      <c r="BK166" s="26">
        <f t="shared" si="25"/>
        <v>2.5314999999999999</v>
      </c>
      <c r="BL166" s="26" t="s">
        <v>1852</v>
      </c>
      <c r="BM166" s="26">
        <f>BJ166/12.7*10000</f>
        <v>1834.8031496062995</v>
      </c>
      <c r="BN166" s="26">
        <f>BK166/12.2*10000</f>
        <v>2075</v>
      </c>
      <c r="BO166" s="26" t="s">
        <v>916</v>
      </c>
      <c r="EJ166" s="12"/>
      <c r="EL166" s="15"/>
      <c r="EY166" s="26">
        <f>168*0.61/24</f>
        <v>4.2700000000000005</v>
      </c>
      <c r="EZ166" s="26">
        <f t="shared" si="26"/>
        <v>5.7695833333333333</v>
      </c>
      <c r="FH166" s="26">
        <f>833*1000000/1627500</f>
        <v>511.8279569892473</v>
      </c>
      <c r="FI166" s="26">
        <f t="shared" si="27"/>
        <v>659.90783410138249</v>
      </c>
      <c r="FK166" s="26">
        <v>49.155145929339476</v>
      </c>
      <c r="FL166" s="26">
        <f t="shared" si="28"/>
        <v>78.64823348694317</v>
      </c>
      <c r="FR166" s="26" t="s">
        <v>330</v>
      </c>
      <c r="FT166" s="26">
        <v>13</v>
      </c>
    </row>
    <row r="167" spans="1:176" s="35" customFormat="1" x14ac:dyDescent="0.25">
      <c r="A167" s="35">
        <v>13</v>
      </c>
      <c r="B167" s="35" t="s">
        <v>303</v>
      </c>
      <c r="C167" s="35" t="s">
        <v>313</v>
      </c>
      <c r="D167" s="35">
        <v>1991</v>
      </c>
      <c r="E167" s="35">
        <v>1987</v>
      </c>
      <c r="F167" s="36" t="s">
        <v>314</v>
      </c>
      <c r="G167" s="35" t="s">
        <v>315</v>
      </c>
      <c r="H167" s="35">
        <v>50.53</v>
      </c>
      <c r="I167" s="35">
        <f t="shared" si="11"/>
        <v>-103.67</v>
      </c>
      <c r="J167" s="35">
        <v>579.1</v>
      </c>
      <c r="P167" s="54">
        <v>1</v>
      </c>
      <c r="Q167" s="54"/>
      <c r="R167" s="54"/>
      <c r="S167" s="54" t="s">
        <v>1558</v>
      </c>
      <c r="T167" s="54" t="s">
        <v>1558</v>
      </c>
      <c r="U167" s="54" t="s">
        <v>1558</v>
      </c>
      <c r="V167" s="54" t="s">
        <v>1905</v>
      </c>
      <c r="W167" s="35">
        <f>(0.95+1.22)/2</f>
        <v>1.085</v>
      </c>
      <c r="X167" s="35">
        <v>16.3</v>
      </c>
      <c r="Y167" s="35">
        <v>20.6</v>
      </c>
      <c r="Z167" s="35" t="s">
        <v>894</v>
      </c>
      <c r="AD167" s="35" t="s">
        <v>1479</v>
      </c>
      <c r="AE167" s="35" t="s">
        <v>1753</v>
      </c>
      <c r="AF167" s="152" t="s">
        <v>1762</v>
      </c>
      <c r="AG167" s="35" t="s">
        <v>1716</v>
      </c>
      <c r="AH167" s="154" t="s">
        <v>144</v>
      </c>
      <c r="AI167" s="35" t="s">
        <v>318</v>
      </c>
      <c r="AJ167" s="35" t="s">
        <v>328</v>
      </c>
      <c r="AK167" s="35" t="s">
        <v>587</v>
      </c>
      <c r="AO167" s="35" t="s">
        <v>193</v>
      </c>
      <c r="AP167" s="26" t="s">
        <v>193</v>
      </c>
      <c r="AQ167" s="35" t="s">
        <v>212</v>
      </c>
      <c r="AR167" s="35" t="s">
        <v>147</v>
      </c>
      <c r="AS167" s="35">
        <v>6</v>
      </c>
      <c r="AT167" s="35">
        <v>6</v>
      </c>
      <c r="AU167" s="35" t="s">
        <v>169</v>
      </c>
      <c r="AV167" s="35">
        <f t="shared" si="23"/>
        <v>117000</v>
      </c>
      <c r="AX167" s="35">
        <f t="shared" si="24"/>
        <v>33.333333333333336</v>
      </c>
      <c r="AY167" s="63"/>
      <c r="BJ167" s="35">
        <f>36.3*0.00061*100</f>
        <v>2.2142999999999997</v>
      </c>
      <c r="BK167" s="35">
        <f>42.2*0.00061*100</f>
        <v>2.5742000000000003</v>
      </c>
      <c r="BL167" s="35" t="s">
        <v>1852</v>
      </c>
      <c r="BM167" s="35">
        <f>BJ167/12.5*10000</f>
        <v>1771.4399999999996</v>
      </c>
      <c r="BN167" s="35">
        <f>BK167/11.5*10000</f>
        <v>2238.434782608696</v>
      </c>
      <c r="BO167" s="35" t="s">
        <v>916</v>
      </c>
      <c r="EJ167" s="12"/>
      <c r="EL167" s="15"/>
      <c r="EY167" s="35">
        <f>184*0.61/24</f>
        <v>4.6766666666666667</v>
      </c>
      <c r="EZ167" s="35">
        <f>206*0.61/24</f>
        <v>5.2358333333333329</v>
      </c>
      <c r="FH167" s="35">
        <f>905*1000000/1627500</f>
        <v>556.06758832565288</v>
      </c>
      <c r="FI167" s="35">
        <f>1036*1000000/1627500</f>
        <v>636.55913978494618</v>
      </c>
      <c r="FK167" s="35">
        <v>48.540706605222731</v>
      </c>
      <c r="FL167" s="35">
        <f>136*1000000/1627500</f>
        <v>83.563748079877115</v>
      </c>
      <c r="FR167" s="35" t="s">
        <v>330</v>
      </c>
      <c r="FT167" s="35">
        <v>13</v>
      </c>
    </row>
    <row r="168" spans="1:176" s="35" customFormat="1" x14ac:dyDescent="0.25">
      <c r="A168" s="35">
        <v>13</v>
      </c>
      <c r="B168" s="35" t="s">
        <v>303</v>
      </c>
      <c r="C168" s="35" t="s">
        <v>313</v>
      </c>
      <c r="D168" s="35">
        <v>1991</v>
      </c>
      <c r="E168" s="35">
        <v>1987</v>
      </c>
      <c r="F168" s="36" t="s">
        <v>314</v>
      </c>
      <c r="G168" s="35" t="s">
        <v>315</v>
      </c>
      <c r="H168" s="35">
        <v>50.53</v>
      </c>
      <c r="I168" s="35">
        <f t="shared" si="11"/>
        <v>-103.67</v>
      </c>
      <c r="J168" s="35">
        <v>579.1</v>
      </c>
      <c r="P168" s="54">
        <v>1</v>
      </c>
      <c r="Q168" s="54"/>
      <c r="R168" s="54"/>
      <c r="S168" s="54" t="s">
        <v>1558</v>
      </c>
      <c r="T168" s="54" t="s">
        <v>1558</v>
      </c>
      <c r="U168" s="54" t="s">
        <v>1558</v>
      </c>
      <c r="V168" s="54" t="s">
        <v>1905</v>
      </c>
      <c r="W168" s="35">
        <f t="shared" si="12"/>
        <v>1.085</v>
      </c>
      <c r="X168" s="35">
        <v>16.3</v>
      </c>
      <c r="Y168" s="35">
        <v>20.6</v>
      </c>
      <c r="Z168" s="35" t="s">
        <v>894</v>
      </c>
      <c r="AD168" s="35" t="s">
        <v>1479</v>
      </c>
      <c r="AE168" s="35" t="s">
        <v>1753</v>
      </c>
      <c r="AF168" s="152" t="s">
        <v>1762</v>
      </c>
      <c r="AG168" s="35" t="s">
        <v>1716</v>
      </c>
      <c r="AH168" s="154" t="s">
        <v>144</v>
      </c>
      <c r="AI168" s="35" t="s">
        <v>318</v>
      </c>
      <c r="AJ168" s="35" t="s">
        <v>328</v>
      </c>
      <c r="AK168" s="35" t="s">
        <v>587</v>
      </c>
      <c r="AO168" s="35" t="s">
        <v>317</v>
      </c>
      <c r="AP168" s="26" t="s">
        <v>193</v>
      </c>
      <c r="AQ168" s="35" t="s">
        <v>587</v>
      </c>
      <c r="AR168" s="35" t="s">
        <v>147</v>
      </c>
      <c r="AS168" s="35">
        <v>6</v>
      </c>
      <c r="AT168" s="35">
        <v>6</v>
      </c>
      <c r="AU168" s="35" t="s">
        <v>169</v>
      </c>
      <c r="AV168" s="35">
        <f t="shared" si="23"/>
        <v>117000</v>
      </c>
      <c r="AX168" s="35">
        <f t="shared" si="24"/>
        <v>33.333333333333336</v>
      </c>
      <c r="AY168" s="63"/>
      <c r="BJ168" s="35">
        <f>37.9*0.00061*100</f>
        <v>2.3118999999999996</v>
      </c>
      <c r="BK168" s="35">
        <f t="shared" ref="BK168:BK171" si="29">42.2*0.00061*100</f>
        <v>2.5742000000000003</v>
      </c>
      <c r="BL168" s="35" t="s">
        <v>1852</v>
      </c>
      <c r="BM168" s="35">
        <f>BJ168/12.6*10000</f>
        <v>1834.8412698412696</v>
      </c>
      <c r="BN168" s="35">
        <f>BK168/11.5*10000</f>
        <v>2238.434782608696</v>
      </c>
      <c r="BO168" s="35" t="s">
        <v>916</v>
      </c>
      <c r="EJ168" s="12"/>
      <c r="EL168" s="15"/>
      <c r="EY168" s="35">
        <f>178*0.61/24</f>
        <v>4.5241666666666669</v>
      </c>
      <c r="EZ168" s="35">
        <f t="shared" ref="EZ168:EZ171" si="30">206*0.61/24</f>
        <v>5.2358333333333329</v>
      </c>
      <c r="FH168" s="35">
        <f>815*1000000/1627500</f>
        <v>500.76804915514595</v>
      </c>
      <c r="FI168" s="35">
        <f t="shared" ref="FI168:FI171" si="31">1036*1000000/1627500</f>
        <v>636.55913978494618</v>
      </c>
      <c r="FK168" s="35">
        <v>46.082949308755758</v>
      </c>
      <c r="FL168" s="35">
        <f t="shared" ref="FL168:FL171" si="32">136*1000000/1627500</f>
        <v>83.563748079877115</v>
      </c>
      <c r="FR168" s="35" t="s">
        <v>330</v>
      </c>
      <c r="FT168" s="35">
        <v>13</v>
      </c>
    </row>
    <row r="169" spans="1:176" s="35" customFormat="1" x14ac:dyDescent="0.25">
      <c r="A169" s="35">
        <v>13</v>
      </c>
      <c r="B169" s="35" t="s">
        <v>303</v>
      </c>
      <c r="C169" s="35" t="s">
        <v>313</v>
      </c>
      <c r="D169" s="35">
        <v>1991</v>
      </c>
      <c r="E169" s="35">
        <v>1987</v>
      </c>
      <c r="F169" s="36" t="s">
        <v>314</v>
      </c>
      <c r="G169" s="35" t="s">
        <v>315</v>
      </c>
      <c r="H169" s="35">
        <v>50.53</v>
      </c>
      <c r="I169" s="35">
        <f t="shared" si="11"/>
        <v>-103.67</v>
      </c>
      <c r="J169" s="35">
        <v>579.1</v>
      </c>
      <c r="P169" s="54">
        <v>1</v>
      </c>
      <c r="Q169" s="54"/>
      <c r="R169" s="54"/>
      <c r="S169" s="54" t="s">
        <v>1558</v>
      </c>
      <c r="T169" s="54" t="s">
        <v>1558</v>
      </c>
      <c r="U169" s="54" t="s">
        <v>1558</v>
      </c>
      <c r="V169" s="54" t="s">
        <v>1905</v>
      </c>
      <c r="W169" s="35">
        <f t="shared" si="12"/>
        <v>1.085</v>
      </c>
      <c r="X169" s="35">
        <v>16.3</v>
      </c>
      <c r="Y169" s="35">
        <v>20.6</v>
      </c>
      <c r="Z169" s="35" t="s">
        <v>894</v>
      </c>
      <c r="AD169" s="35" t="s">
        <v>1479</v>
      </c>
      <c r="AE169" s="35" t="s">
        <v>1753</v>
      </c>
      <c r="AF169" s="152" t="s">
        <v>1762</v>
      </c>
      <c r="AG169" s="35" t="s">
        <v>1716</v>
      </c>
      <c r="AH169" s="154" t="s">
        <v>144</v>
      </c>
      <c r="AI169" s="35" t="s">
        <v>1554</v>
      </c>
      <c r="AJ169" s="35" t="s">
        <v>328</v>
      </c>
      <c r="AK169" s="35" t="s">
        <v>587</v>
      </c>
      <c r="AO169" s="35" t="s">
        <v>193</v>
      </c>
      <c r="AP169" s="26" t="s">
        <v>193</v>
      </c>
      <c r="AQ169" s="35" t="s">
        <v>587</v>
      </c>
      <c r="AR169" s="35" t="s">
        <v>147</v>
      </c>
      <c r="AS169" s="35">
        <v>6</v>
      </c>
      <c r="AT169" s="35">
        <v>6</v>
      </c>
      <c r="AU169" s="35" t="s">
        <v>169</v>
      </c>
      <c r="AV169" s="35">
        <f t="shared" si="23"/>
        <v>117000</v>
      </c>
      <c r="AX169" s="35">
        <f t="shared" si="24"/>
        <v>33.333333333333336</v>
      </c>
      <c r="AY169" s="63"/>
      <c r="BJ169" s="35">
        <f>36.4*0.00061*100</f>
        <v>2.2203999999999997</v>
      </c>
      <c r="BK169" s="35">
        <f t="shared" si="29"/>
        <v>2.5742000000000003</v>
      </c>
      <c r="BL169" s="35" t="s">
        <v>1852</v>
      </c>
      <c r="BM169" s="35">
        <f>BJ169/12.5*10000</f>
        <v>1776.32</v>
      </c>
      <c r="BN169" s="35">
        <f>BK169/11.5*10000</f>
        <v>2238.434782608696</v>
      </c>
      <c r="BO169" s="35" t="s">
        <v>916</v>
      </c>
      <c r="EJ169" s="12"/>
      <c r="EL169" s="15"/>
      <c r="EY169" s="35">
        <f>200*0.61/24</f>
        <v>5.083333333333333</v>
      </c>
      <c r="EZ169" s="35">
        <f t="shared" si="30"/>
        <v>5.2358333333333329</v>
      </c>
      <c r="FH169" s="35">
        <f>804*1000000/1627500</f>
        <v>494.00921658986175</v>
      </c>
      <c r="FI169" s="35">
        <f t="shared" si="31"/>
        <v>636.55913978494618</v>
      </c>
      <c r="FK169" s="35">
        <v>54.685099846390166</v>
      </c>
      <c r="FL169" s="35">
        <f t="shared" si="32"/>
        <v>83.563748079877115</v>
      </c>
      <c r="FR169" s="35" t="s">
        <v>330</v>
      </c>
      <c r="FT169" s="35">
        <v>13</v>
      </c>
    </row>
    <row r="170" spans="1:176" s="35" customFormat="1" x14ac:dyDescent="0.25">
      <c r="A170" s="35">
        <v>13</v>
      </c>
      <c r="B170" s="35" t="s">
        <v>303</v>
      </c>
      <c r="C170" s="35" t="s">
        <v>313</v>
      </c>
      <c r="D170" s="35">
        <v>1991</v>
      </c>
      <c r="E170" s="35">
        <v>1987</v>
      </c>
      <c r="F170" s="36" t="s">
        <v>314</v>
      </c>
      <c r="G170" s="35" t="s">
        <v>315</v>
      </c>
      <c r="H170" s="35">
        <v>50.53</v>
      </c>
      <c r="I170" s="35">
        <f t="shared" si="11"/>
        <v>-103.67</v>
      </c>
      <c r="J170" s="35">
        <v>579.1</v>
      </c>
      <c r="P170" s="54">
        <v>1</v>
      </c>
      <c r="Q170" s="54"/>
      <c r="R170" s="54"/>
      <c r="S170" s="54" t="s">
        <v>1558</v>
      </c>
      <c r="T170" s="54" t="s">
        <v>1558</v>
      </c>
      <c r="U170" s="54" t="s">
        <v>1558</v>
      </c>
      <c r="V170" s="54" t="s">
        <v>1905</v>
      </c>
      <c r="W170" s="35">
        <f t="shared" si="12"/>
        <v>1.085</v>
      </c>
      <c r="X170" s="35">
        <v>16.3</v>
      </c>
      <c r="Y170" s="35">
        <v>20.6</v>
      </c>
      <c r="Z170" s="35" t="s">
        <v>894</v>
      </c>
      <c r="AD170" s="35" t="s">
        <v>1479</v>
      </c>
      <c r="AE170" s="35" t="s">
        <v>1753</v>
      </c>
      <c r="AF170" s="152" t="s">
        <v>1762</v>
      </c>
      <c r="AG170" s="35" t="s">
        <v>1716</v>
      </c>
      <c r="AH170" s="154" t="s">
        <v>144</v>
      </c>
      <c r="AI170" s="35" t="s">
        <v>1554</v>
      </c>
      <c r="AJ170" s="35" t="s">
        <v>328</v>
      </c>
      <c r="AK170" s="35" t="s">
        <v>587</v>
      </c>
      <c r="AO170" s="35" t="s">
        <v>317</v>
      </c>
      <c r="AP170" s="26" t="s">
        <v>193</v>
      </c>
      <c r="AQ170" s="35" t="s">
        <v>587</v>
      </c>
      <c r="AR170" s="35" t="s">
        <v>147</v>
      </c>
      <c r="AS170" s="35">
        <v>6</v>
      </c>
      <c r="AT170" s="35">
        <v>6</v>
      </c>
      <c r="AU170" s="35" t="s">
        <v>169</v>
      </c>
      <c r="AV170" s="35">
        <f t="shared" si="23"/>
        <v>117000</v>
      </c>
      <c r="AX170" s="35">
        <f t="shared" si="24"/>
        <v>33.333333333333336</v>
      </c>
      <c r="AY170" s="63"/>
      <c r="BJ170" s="35">
        <f>38.5*0.00061*100</f>
        <v>2.3485</v>
      </c>
      <c r="BK170" s="35">
        <f t="shared" si="29"/>
        <v>2.5742000000000003</v>
      </c>
      <c r="BL170" s="35" t="s">
        <v>1852</v>
      </c>
      <c r="BM170" s="35">
        <f>BJ170/11.9*10000</f>
        <v>1973.5294117647059</v>
      </c>
      <c r="BN170" s="35">
        <f>BK170/11.5*10000</f>
        <v>2238.434782608696</v>
      </c>
      <c r="BO170" s="35" t="s">
        <v>916</v>
      </c>
      <c r="EJ170" s="12"/>
      <c r="EL170" s="15"/>
      <c r="EY170" s="35">
        <f>193*0.61/24</f>
        <v>4.9054166666666665</v>
      </c>
      <c r="EZ170" s="35">
        <f t="shared" si="30"/>
        <v>5.2358333333333329</v>
      </c>
      <c r="FH170" s="35">
        <f>891*1000000/1627500</f>
        <v>547.46543778801845</v>
      </c>
      <c r="FI170" s="35">
        <f t="shared" si="31"/>
        <v>636.55913978494618</v>
      </c>
      <c r="FK170" s="35">
        <v>54.070660522273428</v>
      </c>
      <c r="FL170" s="35">
        <f t="shared" si="32"/>
        <v>83.563748079877115</v>
      </c>
      <c r="FR170" s="35" t="s">
        <v>330</v>
      </c>
      <c r="FT170" s="35">
        <v>13</v>
      </c>
    </row>
    <row r="171" spans="1:176" s="35" customFormat="1" x14ac:dyDescent="0.25">
      <c r="A171" s="35">
        <v>13</v>
      </c>
      <c r="B171" s="35" t="s">
        <v>303</v>
      </c>
      <c r="C171" s="35" t="s">
        <v>313</v>
      </c>
      <c r="D171" s="35">
        <v>1991</v>
      </c>
      <c r="E171" s="35">
        <v>1987</v>
      </c>
      <c r="F171" s="36" t="s">
        <v>314</v>
      </c>
      <c r="G171" s="35" t="s">
        <v>315</v>
      </c>
      <c r="H171" s="35">
        <v>50.53</v>
      </c>
      <c r="I171" s="35">
        <f t="shared" si="11"/>
        <v>-103.67</v>
      </c>
      <c r="J171" s="35">
        <v>579.1</v>
      </c>
      <c r="P171" s="54">
        <v>1</v>
      </c>
      <c r="Q171" s="54"/>
      <c r="R171" s="54"/>
      <c r="S171" s="54" t="s">
        <v>1558</v>
      </c>
      <c r="T171" s="54" t="s">
        <v>1558</v>
      </c>
      <c r="U171" s="54" t="s">
        <v>1558</v>
      </c>
      <c r="V171" s="54" t="s">
        <v>1905</v>
      </c>
      <c r="W171" s="35">
        <f t="shared" si="12"/>
        <v>1.085</v>
      </c>
      <c r="X171" s="35">
        <v>16.3</v>
      </c>
      <c r="Y171" s="35">
        <v>20.6</v>
      </c>
      <c r="Z171" s="35" t="s">
        <v>894</v>
      </c>
      <c r="AD171" s="35" t="s">
        <v>1479</v>
      </c>
      <c r="AE171" s="35" t="s">
        <v>1753</v>
      </c>
      <c r="AF171" s="152" t="s">
        <v>1762</v>
      </c>
      <c r="AG171" s="35" t="s">
        <v>1716</v>
      </c>
      <c r="AH171" s="154" t="s">
        <v>144</v>
      </c>
      <c r="AI171" s="35" t="s">
        <v>1554</v>
      </c>
      <c r="AJ171" s="35" t="s">
        <v>328</v>
      </c>
      <c r="AK171" s="35" t="s">
        <v>587</v>
      </c>
      <c r="AO171" s="35" t="s">
        <v>319</v>
      </c>
      <c r="AP171" s="26" t="s">
        <v>193</v>
      </c>
      <c r="AQ171" s="35" t="s">
        <v>587</v>
      </c>
      <c r="AR171" s="35" t="s">
        <v>147</v>
      </c>
      <c r="AS171" s="35">
        <v>6</v>
      </c>
      <c r="AT171" s="35">
        <v>6</v>
      </c>
      <c r="AU171" s="35" t="s">
        <v>169</v>
      </c>
      <c r="AV171" s="35">
        <f t="shared" si="23"/>
        <v>117000</v>
      </c>
      <c r="AX171" s="35">
        <f t="shared" si="24"/>
        <v>33.333333333333336</v>
      </c>
      <c r="AY171" s="63"/>
      <c r="BJ171" s="35">
        <f>38.2*0.00061*100</f>
        <v>2.3302</v>
      </c>
      <c r="BK171" s="35">
        <f t="shared" si="29"/>
        <v>2.5742000000000003</v>
      </c>
      <c r="BL171" s="35" t="s">
        <v>1852</v>
      </c>
      <c r="BM171" s="35">
        <f>BJ171/12.7*10000</f>
        <v>1834.8031496062995</v>
      </c>
      <c r="BN171" s="35">
        <f>BK171/11.5*10000</f>
        <v>2238.434782608696</v>
      </c>
      <c r="BO171" s="35" t="s">
        <v>916</v>
      </c>
      <c r="EJ171" s="12"/>
      <c r="EL171" s="15"/>
      <c r="EY171" s="35">
        <f>168*0.61/24</f>
        <v>4.2700000000000005</v>
      </c>
      <c r="EZ171" s="35">
        <f t="shared" si="30"/>
        <v>5.2358333333333329</v>
      </c>
      <c r="FH171" s="35">
        <f>833*1000000/1627500</f>
        <v>511.8279569892473</v>
      </c>
      <c r="FI171" s="35">
        <f t="shared" si="31"/>
        <v>636.55913978494618</v>
      </c>
      <c r="FK171" s="35">
        <v>49.155145929339476</v>
      </c>
      <c r="FL171" s="35">
        <f t="shared" si="32"/>
        <v>83.563748079877115</v>
      </c>
      <c r="FR171" s="35" t="s">
        <v>330</v>
      </c>
      <c r="FT171" s="35">
        <v>13</v>
      </c>
    </row>
    <row r="172" spans="1:176" s="23" customFormat="1" x14ac:dyDescent="0.25">
      <c r="A172" s="23">
        <v>14</v>
      </c>
      <c r="B172" s="23" t="s">
        <v>333</v>
      </c>
      <c r="C172" s="23" t="s">
        <v>334</v>
      </c>
      <c r="D172" s="23">
        <v>2011</v>
      </c>
      <c r="E172" s="23">
        <v>2008</v>
      </c>
      <c r="F172" s="23" t="s">
        <v>336</v>
      </c>
      <c r="G172" s="23" t="s">
        <v>335</v>
      </c>
      <c r="H172" s="23">
        <v>46.88</v>
      </c>
      <c r="I172" s="23">
        <v>-102.79</v>
      </c>
      <c r="J172" s="23">
        <v>735.8</v>
      </c>
      <c r="P172" s="53">
        <v>1</v>
      </c>
      <c r="Q172" s="53"/>
      <c r="R172" s="53"/>
      <c r="S172" s="53" t="s">
        <v>1553</v>
      </c>
      <c r="T172" s="53" t="s">
        <v>1553</v>
      </c>
      <c r="U172" s="53" t="s">
        <v>1553</v>
      </c>
      <c r="V172" s="53" t="s">
        <v>1553</v>
      </c>
      <c r="Z172" s="23" t="s">
        <v>167</v>
      </c>
      <c r="AE172" s="23" t="s">
        <v>281</v>
      </c>
      <c r="AF172" s="152" t="s">
        <v>666</v>
      </c>
      <c r="AG172" s="23" t="s">
        <v>267</v>
      </c>
      <c r="AH172" s="155" t="s">
        <v>267</v>
      </c>
      <c r="AI172" s="23" t="s">
        <v>1799</v>
      </c>
      <c r="AJ172" s="23" t="s">
        <v>1799</v>
      </c>
      <c r="AK172" s="23" t="s">
        <v>212</v>
      </c>
      <c r="AL172" s="23" t="s">
        <v>256</v>
      </c>
      <c r="AM172" s="23" t="s">
        <v>256</v>
      </c>
      <c r="AN172" s="23" t="s">
        <v>212</v>
      </c>
      <c r="AR172" s="23" t="s">
        <v>147</v>
      </c>
      <c r="AV172" s="23">
        <v>1728</v>
      </c>
      <c r="AY172" s="64" t="s">
        <v>337</v>
      </c>
      <c r="DO172" s="23">
        <v>309</v>
      </c>
      <c r="DP172" s="23">
        <v>584</v>
      </c>
      <c r="EJ172" s="12"/>
      <c r="EL172" s="15"/>
      <c r="FR172" s="23" t="s">
        <v>804</v>
      </c>
      <c r="FT172" s="23">
        <v>14</v>
      </c>
    </row>
    <row r="173" spans="1:176" s="23" customFormat="1" x14ac:dyDescent="0.25">
      <c r="A173" s="23">
        <v>14</v>
      </c>
      <c r="B173" s="23" t="s">
        <v>333</v>
      </c>
      <c r="C173" s="23" t="s">
        <v>334</v>
      </c>
      <c r="D173" s="23">
        <v>2011</v>
      </c>
      <c r="E173" s="23">
        <v>2008</v>
      </c>
      <c r="F173" s="23" t="s">
        <v>336</v>
      </c>
      <c r="G173" s="23" t="s">
        <v>335</v>
      </c>
      <c r="H173" s="23">
        <v>46.88</v>
      </c>
      <c r="I173" s="23">
        <v>-102.79</v>
      </c>
      <c r="J173" s="23">
        <v>735.8</v>
      </c>
      <c r="P173" s="53">
        <v>1</v>
      </c>
      <c r="Q173" s="53"/>
      <c r="R173" s="53"/>
      <c r="S173" s="53" t="s">
        <v>1553</v>
      </c>
      <c r="T173" s="53" t="s">
        <v>1553</v>
      </c>
      <c r="U173" s="53" t="s">
        <v>1553</v>
      </c>
      <c r="V173" s="53" t="s">
        <v>1553</v>
      </c>
      <c r="Z173" s="23" t="s">
        <v>167</v>
      </c>
      <c r="AE173" s="23" t="s">
        <v>281</v>
      </c>
      <c r="AF173" s="152" t="s">
        <v>666</v>
      </c>
      <c r="AG173" s="23" t="s">
        <v>267</v>
      </c>
      <c r="AH173" s="155" t="s">
        <v>267</v>
      </c>
      <c r="AI173" s="23" t="s">
        <v>1799</v>
      </c>
      <c r="AJ173" s="23" t="s">
        <v>1799</v>
      </c>
      <c r="AK173" s="23" t="s">
        <v>212</v>
      </c>
      <c r="AL173" s="23" t="s">
        <v>256</v>
      </c>
      <c r="AM173" s="23" t="s">
        <v>256</v>
      </c>
      <c r="AN173" s="23" t="s">
        <v>212</v>
      </c>
      <c r="AR173" s="23" t="s">
        <v>147</v>
      </c>
      <c r="AV173" s="23">
        <v>1728</v>
      </c>
      <c r="AY173" s="64" t="s">
        <v>338</v>
      </c>
      <c r="DO173" s="23">
        <v>196</v>
      </c>
      <c r="DP173" s="23">
        <v>584</v>
      </c>
      <c r="EJ173" s="12"/>
      <c r="EL173" s="15"/>
      <c r="FR173" s="23" t="s">
        <v>804</v>
      </c>
      <c r="FT173" s="23">
        <v>14</v>
      </c>
    </row>
    <row r="174" spans="1:176" s="23" customFormat="1" x14ac:dyDescent="0.25">
      <c r="A174" s="23">
        <v>14</v>
      </c>
      <c r="B174" s="23" t="s">
        <v>333</v>
      </c>
      <c r="C174" s="23" t="s">
        <v>334</v>
      </c>
      <c r="D174" s="23">
        <v>2011</v>
      </c>
      <c r="E174" s="23">
        <v>2008</v>
      </c>
      <c r="F174" s="23" t="s">
        <v>336</v>
      </c>
      <c r="G174" s="23" t="s">
        <v>335</v>
      </c>
      <c r="H174" s="23">
        <v>46.88</v>
      </c>
      <c r="I174" s="23">
        <v>-102.79</v>
      </c>
      <c r="J174" s="23">
        <v>735.8</v>
      </c>
      <c r="P174" s="53">
        <v>1</v>
      </c>
      <c r="Q174" s="53"/>
      <c r="R174" s="53"/>
      <c r="S174" s="53" t="s">
        <v>1553</v>
      </c>
      <c r="T174" s="53" t="s">
        <v>1553</v>
      </c>
      <c r="U174" s="53" t="s">
        <v>1553</v>
      </c>
      <c r="V174" s="53" t="s">
        <v>1553</v>
      </c>
      <c r="Z174" s="23" t="s">
        <v>167</v>
      </c>
      <c r="AE174" s="23" t="s">
        <v>281</v>
      </c>
      <c r="AF174" s="152" t="s">
        <v>666</v>
      </c>
      <c r="AG174" s="23" t="s">
        <v>267</v>
      </c>
      <c r="AH174" s="155" t="s">
        <v>267</v>
      </c>
      <c r="AI174" s="23" t="s">
        <v>1799</v>
      </c>
      <c r="AJ174" s="23" t="s">
        <v>1799</v>
      </c>
      <c r="AK174" s="23" t="s">
        <v>212</v>
      </c>
      <c r="AL174" s="23" t="s">
        <v>256</v>
      </c>
      <c r="AM174" s="23" t="s">
        <v>256</v>
      </c>
      <c r="AN174" s="23" t="s">
        <v>212</v>
      </c>
      <c r="AR174" s="23" t="s">
        <v>147</v>
      </c>
      <c r="AV174" s="23">
        <v>1728</v>
      </c>
      <c r="AY174" s="64" t="s">
        <v>339</v>
      </c>
      <c r="DO174" s="23">
        <v>569</v>
      </c>
      <c r="DP174" s="23">
        <v>584</v>
      </c>
      <c r="EJ174" s="12"/>
      <c r="EL174" s="15"/>
      <c r="FR174" s="23" t="s">
        <v>804</v>
      </c>
      <c r="FT174" s="23">
        <v>14</v>
      </c>
    </row>
    <row r="175" spans="1:176" s="38" customFormat="1" x14ac:dyDescent="0.25">
      <c r="A175" s="38">
        <v>14</v>
      </c>
      <c r="B175" s="38" t="s">
        <v>333</v>
      </c>
      <c r="C175" s="38" t="s">
        <v>334</v>
      </c>
      <c r="D175" s="38">
        <v>2011</v>
      </c>
      <c r="E175" s="38">
        <v>2008</v>
      </c>
      <c r="F175" s="38" t="s">
        <v>336</v>
      </c>
      <c r="G175" s="38" t="s">
        <v>335</v>
      </c>
      <c r="H175" s="38">
        <v>46.88</v>
      </c>
      <c r="I175" s="38">
        <v>-102.79</v>
      </c>
      <c r="J175" s="38">
        <v>735.8</v>
      </c>
      <c r="P175" s="57">
        <v>1</v>
      </c>
      <c r="Q175" s="57"/>
      <c r="R175" s="57"/>
      <c r="S175" s="57" t="s">
        <v>1553</v>
      </c>
      <c r="T175" s="57" t="s">
        <v>1553</v>
      </c>
      <c r="U175" s="57" t="s">
        <v>1553</v>
      </c>
      <c r="V175" s="57" t="s">
        <v>1553</v>
      </c>
      <c r="Z175" s="38" t="s">
        <v>167</v>
      </c>
      <c r="AE175" s="38" t="s">
        <v>1743</v>
      </c>
      <c r="AF175" s="152" t="s">
        <v>159</v>
      </c>
      <c r="AG175" s="38" t="s">
        <v>267</v>
      </c>
      <c r="AH175" s="155" t="s">
        <v>267</v>
      </c>
      <c r="AI175" s="38" t="s">
        <v>1799</v>
      </c>
      <c r="AJ175" s="38" t="s">
        <v>1799</v>
      </c>
      <c r="AK175" s="38" t="s">
        <v>212</v>
      </c>
      <c r="AL175" s="38" t="s">
        <v>256</v>
      </c>
      <c r="AM175" s="38" t="s">
        <v>256</v>
      </c>
      <c r="AN175" s="38" t="s">
        <v>212</v>
      </c>
      <c r="AR175" s="38" t="s">
        <v>147</v>
      </c>
      <c r="AV175" s="38">
        <v>3615</v>
      </c>
      <c r="AY175" s="64" t="s">
        <v>337</v>
      </c>
      <c r="DO175" s="23">
        <v>309</v>
      </c>
      <c r="DP175" s="38">
        <v>153</v>
      </c>
      <c r="EJ175" s="12"/>
      <c r="EL175" s="15"/>
      <c r="FR175" s="38" t="s">
        <v>804</v>
      </c>
      <c r="FT175" s="38">
        <v>14</v>
      </c>
    </row>
    <row r="176" spans="1:176" s="38" customFormat="1" x14ac:dyDescent="0.25">
      <c r="A176" s="38">
        <v>14</v>
      </c>
      <c r="B176" s="38" t="s">
        <v>333</v>
      </c>
      <c r="C176" s="38" t="s">
        <v>334</v>
      </c>
      <c r="D176" s="38">
        <v>2011</v>
      </c>
      <c r="E176" s="38">
        <v>2008</v>
      </c>
      <c r="F176" s="38" t="s">
        <v>336</v>
      </c>
      <c r="G176" s="38" t="s">
        <v>335</v>
      </c>
      <c r="H176" s="38">
        <v>46.88</v>
      </c>
      <c r="I176" s="38">
        <v>-102.79</v>
      </c>
      <c r="J176" s="38">
        <v>735.8</v>
      </c>
      <c r="P176" s="57">
        <v>1</v>
      </c>
      <c r="Q176" s="57"/>
      <c r="R176" s="57"/>
      <c r="S176" s="57" t="s">
        <v>1553</v>
      </c>
      <c r="T176" s="57" t="s">
        <v>1553</v>
      </c>
      <c r="U176" s="57" t="s">
        <v>1553</v>
      </c>
      <c r="V176" s="57" t="s">
        <v>1553</v>
      </c>
      <c r="Z176" s="38" t="s">
        <v>167</v>
      </c>
      <c r="AE176" s="38" t="s">
        <v>1743</v>
      </c>
      <c r="AF176" s="152" t="s">
        <v>159</v>
      </c>
      <c r="AG176" s="38" t="s">
        <v>267</v>
      </c>
      <c r="AH176" s="155" t="s">
        <v>267</v>
      </c>
      <c r="AI176" s="38" t="s">
        <v>1799</v>
      </c>
      <c r="AJ176" s="38" t="s">
        <v>1799</v>
      </c>
      <c r="AK176" s="38" t="s">
        <v>212</v>
      </c>
      <c r="AL176" s="38" t="s">
        <v>256</v>
      </c>
      <c r="AM176" s="38" t="s">
        <v>256</v>
      </c>
      <c r="AN176" s="38" t="s">
        <v>212</v>
      </c>
      <c r="AR176" s="38" t="s">
        <v>147</v>
      </c>
      <c r="AV176" s="38">
        <v>3615</v>
      </c>
      <c r="AY176" s="64" t="s">
        <v>338</v>
      </c>
      <c r="DO176" s="23">
        <v>196</v>
      </c>
      <c r="DP176" s="38">
        <v>153</v>
      </c>
      <c r="EJ176" s="12"/>
      <c r="EL176" s="15"/>
      <c r="FR176" s="38" t="s">
        <v>804</v>
      </c>
      <c r="FT176" s="38">
        <v>14</v>
      </c>
    </row>
    <row r="177" spans="1:176" s="38" customFormat="1" x14ac:dyDescent="0.25">
      <c r="A177" s="38">
        <v>14</v>
      </c>
      <c r="B177" s="38" t="s">
        <v>333</v>
      </c>
      <c r="C177" s="38" t="s">
        <v>334</v>
      </c>
      <c r="D177" s="38">
        <v>2011</v>
      </c>
      <c r="E177" s="38">
        <v>2008</v>
      </c>
      <c r="F177" s="38" t="s">
        <v>336</v>
      </c>
      <c r="G177" s="38" t="s">
        <v>335</v>
      </c>
      <c r="H177" s="38">
        <v>46.88</v>
      </c>
      <c r="I177" s="38">
        <v>-102.79</v>
      </c>
      <c r="J177" s="38">
        <v>735.8</v>
      </c>
      <c r="P177" s="57">
        <v>1</v>
      </c>
      <c r="Q177" s="57"/>
      <c r="R177" s="57"/>
      <c r="S177" s="57" t="s">
        <v>1553</v>
      </c>
      <c r="T177" s="57" t="s">
        <v>1553</v>
      </c>
      <c r="U177" s="57" t="s">
        <v>1553</v>
      </c>
      <c r="V177" s="57" t="s">
        <v>1553</v>
      </c>
      <c r="Z177" s="38" t="s">
        <v>167</v>
      </c>
      <c r="AE177" s="38" t="s">
        <v>1743</v>
      </c>
      <c r="AF177" s="152" t="s">
        <v>159</v>
      </c>
      <c r="AG177" s="38" t="s">
        <v>267</v>
      </c>
      <c r="AH177" s="155" t="s">
        <v>267</v>
      </c>
      <c r="AI177" s="38" t="s">
        <v>1799</v>
      </c>
      <c r="AJ177" s="38" t="s">
        <v>1799</v>
      </c>
      <c r="AK177" s="38" t="s">
        <v>212</v>
      </c>
      <c r="AL177" s="38" t="s">
        <v>256</v>
      </c>
      <c r="AM177" s="38" t="s">
        <v>256</v>
      </c>
      <c r="AN177" s="38" t="s">
        <v>212</v>
      </c>
      <c r="AR177" s="38" t="s">
        <v>147</v>
      </c>
      <c r="AV177" s="38">
        <v>3615</v>
      </c>
      <c r="AY177" s="64" t="s">
        <v>339</v>
      </c>
      <c r="DO177" s="23">
        <v>569</v>
      </c>
      <c r="DP177" s="38">
        <v>153</v>
      </c>
      <c r="EJ177" s="12"/>
      <c r="EL177" s="15"/>
      <c r="FR177" s="38" t="s">
        <v>804</v>
      </c>
      <c r="FT177" s="38">
        <v>14</v>
      </c>
    </row>
    <row r="178" spans="1:176" s="23" customFormat="1" x14ac:dyDescent="0.25">
      <c r="A178" s="23">
        <v>14</v>
      </c>
      <c r="B178" s="23" t="s">
        <v>333</v>
      </c>
      <c r="C178" s="23" t="s">
        <v>334</v>
      </c>
      <c r="D178" s="23">
        <v>2011</v>
      </c>
      <c r="E178" s="23">
        <v>2008</v>
      </c>
      <c r="F178" s="23" t="s">
        <v>336</v>
      </c>
      <c r="G178" s="23" t="s">
        <v>335</v>
      </c>
      <c r="H178" s="23">
        <v>46.88</v>
      </c>
      <c r="I178" s="23">
        <v>-102.79</v>
      </c>
      <c r="J178" s="23">
        <v>735.8</v>
      </c>
      <c r="P178" s="53">
        <v>1</v>
      </c>
      <c r="Q178" s="53"/>
      <c r="R178" s="53"/>
      <c r="S178" s="53" t="s">
        <v>1553</v>
      </c>
      <c r="T178" s="53" t="s">
        <v>1553</v>
      </c>
      <c r="U178" s="53" t="s">
        <v>1553</v>
      </c>
      <c r="V178" s="53" t="s">
        <v>1553</v>
      </c>
      <c r="Z178" s="23" t="s">
        <v>167</v>
      </c>
      <c r="AE178" s="23" t="s">
        <v>1707</v>
      </c>
      <c r="AF178" s="152" t="s">
        <v>1761</v>
      </c>
      <c r="AG178" s="23" t="s">
        <v>267</v>
      </c>
      <c r="AH178" s="155" t="s">
        <v>267</v>
      </c>
      <c r="AI178" s="23" t="s">
        <v>1799</v>
      </c>
      <c r="AJ178" s="23" t="s">
        <v>1799</v>
      </c>
      <c r="AK178" s="23" t="s">
        <v>212</v>
      </c>
      <c r="AL178" s="23" t="s">
        <v>256</v>
      </c>
      <c r="AM178" s="23" t="s">
        <v>256</v>
      </c>
      <c r="AN178" s="23" t="s">
        <v>212</v>
      </c>
      <c r="AR178" s="23" t="s">
        <v>147</v>
      </c>
      <c r="AV178" s="23">
        <v>4113</v>
      </c>
      <c r="AY178" s="64" t="s">
        <v>337</v>
      </c>
      <c r="DO178" s="23">
        <v>309</v>
      </c>
      <c r="DP178" s="23">
        <v>274</v>
      </c>
      <c r="EJ178" s="12"/>
      <c r="EL178" s="15"/>
      <c r="FR178" s="23" t="s">
        <v>804</v>
      </c>
      <c r="FT178" s="23">
        <v>14</v>
      </c>
    </row>
    <row r="179" spans="1:176" s="23" customFormat="1" x14ac:dyDescent="0.25">
      <c r="A179" s="23">
        <v>14</v>
      </c>
      <c r="B179" s="23" t="s">
        <v>333</v>
      </c>
      <c r="C179" s="23" t="s">
        <v>334</v>
      </c>
      <c r="D179" s="23">
        <v>2011</v>
      </c>
      <c r="E179" s="23">
        <v>2008</v>
      </c>
      <c r="F179" s="23" t="s">
        <v>336</v>
      </c>
      <c r="G179" s="23" t="s">
        <v>335</v>
      </c>
      <c r="H179" s="23">
        <v>46.88</v>
      </c>
      <c r="I179" s="23">
        <v>-102.79</v>
      </c>
      <c r="J179" s="23">
        <v>735.8</v>
      </c>
      <c r="P179" s="53">
        <v>1</v>
      </c>
      <c r="Q179" s="53"/>
      <c r="R179" s="53"/>
      <c r="S179" s="53" t="s">
        <v>1553</v>
      </c>
      <c r="T179" s="53" t="s">
        <v>1553</v>
      </c>
      <c r="U179" s="53" t="s">
        <v>1553</v>
      </c>
      <c r="V179" s="53" t="s">
        <v>1553</v>
      </c>
      <c r="Z179" s="23" t="s">
        <v>167</v>
      </c>
      <c r="AE179" s="23" t="s">
        <v>1707</v>
      </c>
      <c r="AF179" s="152" t="s">
        <v>1761</v>
      </c>
      <c r="AG179" s="23" t="s">
        <v>267</v>
      </c>
      <c r="AH179" s="155" t="s">
        <v>267</v>
      </c>
      <c r="AI179" s="23" t="s">
        <v>1799</v>
      </c>
      <c r="AJ179" s="23" t="s">
        <v>1799</v>
      </c>
      <c r="AK179" s="23" t="s">
        <v>212</v>
      </c>
      <c r="AL179" s="23" t="s">
        <v>256</v>
      </c>
      <c r="AM179" s="23" t="s">
        <v>256</v>
      </c>
      <c r="AN179" s="23" t="s">
        <v>212</v>
      </c>
      <c r="AR179" s="23" t="s">
        <v>147</v>
      </c>
      <c r="AV179" s="23">
        <v>4113</v>
      </c>
      <c r="AY179" s="64" t="s">
        <v>338</v>
      </c>
      <c r="DO179" s="23">
        <v>196</v>
      </c>
      <c r="DP179" s="23">
        <v>274</v>
      </c>
      <c r="EJ179" s="12"/>
      <c r="EL179" s="15"/>
      <c r="FR179" s="23" t="s">
        <v>804</v>
      </c>
      <c r="FT179" s="23">
        <v>14</v>
      </c>
    </row>
    <row r="180" spans="1:176" s="23" customFormat="1" x14ac:dyDescent="0.25">
      <c r="A180" s="23">
        <v>14</v>
      </c>
      <c r="B180" s="23" t="s">
        <v>333</v>
      </c>
      <c r="C180" s="23" t="s">
        <v>334</v>
      </c>
      <c r="D180" s="23">
        <v>2011</v>
      </c>
      <c r="E180" s="23">
        <v>2008</v>
      </c>
      <c r="F180" s="23" t="s">
        <v>336</v>
      </c>
      <c r="G180" s="23" t="s">
        <v>335</v>
      </c>
      <c r="H180" s="23">
        <v>46.88</v>
      </c>
      <c r="I180" s="23">
        <v>-102.79</v>
      </c>
      <c r="J180" s="23">
        <v>735.8</v>
      </c>
      <c r="P180" s="53">
        <v>1</v>
      </c>
      <c r="Q180" s="53"/>
      <c r="R180" s="53"/>
      <c r="S180" s="53" t="s">
        <v>1553</v>
      </c>
      <c r="T180" s="53" t="s">
        <v>1553</v>
      </c>
      <c r="U180" s="53" t="s">
        <v>1553</v>
      </c>
      <c r="V180" s="53" t="s">
        <v>1553</v>
      </c>
      <c r="Z180" s="23" t="s">
        <v>167</v>
      </c>
      <c r="AE180" s="23" t="s">
        <v>1707</v>
      </c>
      <c r="AF180" s="152" t="s">
        <v>1761</v>
      </c>
      <c r="AG180" s="23" t="s">
        <v>267</v>
      </c>
      <c r="AH180" s="155" t="s">
        <v>267</v>
      </c>
      <c r="AI180" s="23" t="s">
        <v>1799</v>
      </c>
      <c r="AJ180" s="23" t="s">
        <v>1799</v>
      </c>
      <c r="AK180" s="23" t="s">
        <v>212</v>
      </c>
      <c r="AL180" s="23" t="s">
        <v>256</v>
      </c>
      <c r="AM180" s="23" t="s">
        <v>256</v>
      </c>
      <c r="AN180" s="23" t="s">
        <v>212</v>
      </c>
      <c r="AR180" s="23" t="s">
        <v>147</v>
      </c>
      <c r="AV180" s="23">
        <v>4113</v>
      </c>
      <c r="AY180" s="64" t="s">
        <v>339</v>
      </c>
      <c r="DO180" s="23">
        <v>569</v>
      </c>
      <c r="DP180" s="23">
        <v>274</v>
      </c>
      <c r="EJ180" s="12"/>
      <c r="EL180" s="15"/>
      <c r="FR180" s="23" t="s">
        <v>804</v>
      </c>
      <c r="FT180" s="23">
        <v>14</v>
      </c>
    </row>
    <row r="181" spans="1:176" s="5" customFormat="1" x14ac:dyDescent="0.25">
      <c r="A181" s="38">
        <v>14</v>
      </c>
      <c r="B181" s="38" t="s">
        <v>333</v>
      </c>
      <c r="C181" s="38" t="s">
        <v>334</v>
      </c>
      <c r="D181" s="38">
        <v>2011</v>
      </c>
      <c r="E181" s="38">
        <v>2008</v>
      </c>
      <c r="F181" s="38" t="s">
        <v>336</v>
      </c>
      <c r="G181" s="38" t="s">
        <v>335</v>
      </c>
      <c r="H181" s="38">
        <v>46.88</v>
      </c>
      <c r="I181" s="38">
        <v>-102.79</v>
      </c>
      <c r="J181" s="38">
        <v>735.8</v>
      </c>
      <c r="K181" s="38"/>
      <c r="L181" s="38"/>
      <c r="M181" s="38"/>
      <c r="N181" s="38"/>
      <c r="O181" s="38"/>
      <c r="P181" s="57">
        <v>1</v>
      </c>
      <c r="Q181" s="57"/>
      <c r="R181" s="57"/>
      <c r="S181" s="57" t="s">
        <v>1553</v>
      </c>
      <c r="T181" s="57" t="s">
        <v>1553</v>
      </c>
      <c r="U181" s="57" t="s">
        <v>1553</v>
      </c>
      <c r="V181" s="57" t="s">
        <v>1553</v>
      </c>
      <c r="W181" s="38"/>
      <c r="X181" s="38"/>
      <c r="Y181" s="38"/>
      <c r="Z181" s="38" t="s">
        <v>167</v>
      </c>
      <c r="AA181" s="38"/>
      <c r="AB181" s="38"/>
      <c r="AC181" s="38"/>
      <c r="AD181" s="38"/>
      <c r="AE181" s="38" t="s">
        <v>1754</v>
      </c>
      <c r="AF181" s="152" t="s">
        <v>1762</v>
      </c>
      <c r="AG181" s="38" t="s">
        <v>267</v>
      </c>
      <c r="AH181" s="155" t="s">
        <v>267</v>
      </c>
      <c r="AI181" s="38" t="s">
        <v>1799</v>
      </c>
      <c r="AJ181" s="38" t="s">
        <v>1799</v>
      </c>
      <c r="AK181" s="38" t="s">
        <v>212</v>
      </c>
      <c r="AL181" s="38" t="s">
        <v>256</v>
      </c>
      <c r="AM181" s="38" t="s">
        <v>256</v>
      </c>
      <c r="AN181" s="38" t="s">
        <v>212</v>
      </c>
      <c r="AO181" s="38"/>
      <c r="AP181" s="38"/>
      <c r="AQ181" s="38"/>
      <c r="AR181" s="38" t="s">
        <v>147</v>
      </c>
      <c r="AV181" s="5">
        <v>3535</v>
      </c>
      <c r="AY181" s="64" t="s">
        <v>337</v>
      </c>
      <c r="DO181" s="23">
        <v>309</v>
      </c>
      <c r="DP181" s="5">
        <v>286</v>
      </c>
      <c r="EJ181" s="12"/>
      <c r="EL181" s="15"/>
      <c r="FN181" s="38"/>
      <c r="FO181" s="38"/>
      <c r="FP181" s="38"/>
      <c r="FQ181" s="38"/>
      <c r="FR181" s="38" t="s">
        <v>804</v>
      </c>
      <c r="FT181" s="38">
        <v>14</v>
      </c>
    </row>
    <row r="182" spans="1:176" s="5" customFormat="1" x14ac:dyDescent="0.25">
      <c r="A182" s="38">
        <v>14</v>
      </c>
      <c r="B182" s="38" t="s">
        <v>333</v>
      </c>
      <c r="C182" s="38" t="s">
        <v>334</v>
      </c>
      <c r="D182" s="38">
        <v>2011</v>
      </c>
      <c r="E182" s="38">
        <v>2008</v>
      </c>
      <c r="F182" s="38" t="s">
        <v>336</v>
      </c>
      <c r="G182" s="38" t="s">
        <v>335</v>
      </c>
      <c r="H182" s="38">
        <v>46.88</v>
      </c>
      <c r="I182" s="38">
        <v>-102.79</v>
      </c>
      <c r="J182" s="38">
        <v>735.8</v>
      </c>
      <c r="K182" s="38"/>
      <c r="L182" s="38"/>
      <c r="M182" s="38"/>
      <c r="N182" s="38"/>
      <c r="O182" s="38"/>
      <c r="P182" s="57">
        <v>1</v>
      </c>
      <c r="Q182" s="57"/>
      <c r="R182" s="57"/>
      <c r="S182" s="57" t="s">
        <v>1553</v>
      </c>
      <c r="T182" s="57" t="s">
        <v>1553</v>
      </c>
      <c r="U182" s="57" t="s">
        <v>1553</v>
      </c>
      <c r="V182" s="57" t="s">
        <v>1553</v>
      </c>
      <c r="W182" s="38"/>
      <c r="X182" s="38"/>
      <c r="Y182" s="38"/>
      <c r="Z182" s="38" t="s">
        <v>167</v>
      </c>
      <c r="AA182" s="38"/>
      <c r="AB182" s="38"/>
      <c r="AC182" s="38"/>
      <c r="AD182" s="38"/>
      <c r="AE182" s="38" t="s">
        <v>1754</v>
      </c>
      <c r="AF182" s="152" t="s">
        <v>1762</v>
      </c>
      <c r="AG182" s="38" t="s">
        <v>267</v>
      </c>
      <c r="AH182" s="155" t="s">
        <v>267</v>
      </c>
      <c r="AI182" s="38" t="s">
        <v>1799</v>
      </c>
      <c r="AJ182" s="38" t="s">
        <v>1799</v>
      </c>
      <c r="AK182" s="38" t="s">
        <v>212</v>
      </c>
      <c r="AL182" s="38" t="s">
        <v>256</v>
      </c>
      <c r="AM182" s="38" t="s">
        <v>256</v>
      </c>
      <c r="AN182" s="38" t="s">
        <v>212</v>
      </c>
      <c r="AO182" s="38"/>
      <c r="AP182" s="38"/>
      <c r="AQ182" s="38"/>
      <c r="AR182" s="38" t="s">
        <v>147</v>
      </c>
      <c r="AV182" s="5">
        <v>3535</v>
      </c>
      <c r="AY182" s="64" t="s">
        <v>338</v>
      </c>
      <c r="DO182" s="23">
        <v>196</v>
      </c>
      <c r="DP182" s="5">
        <v>286</v>
      </c>
      <c r="EJ182" s="12"/>
      <c r="EL182" s="15"/>
      <c r="FN182" s="38"/>
      <c r="FO182" s="38"/>
      <c r="FP182" s="38"/>
      <c r="FQ182" s="38"/>
      <c r="FR182" s="38" t="s">
        <v>804</v>
      </c>
      <c r="FT182" s="38">
        <v>14</v>
      </c>
    </row>
    <row r="183" spans="1:176" s="5" customFormat="1" x14ac:dyDescent="0.25">
      <c r="A183" s="38">
        <v>14</v>
      </c>
      <c r="B183" s="38" t="s">
        <v>333</v>
      </c>
      <c r="C183" s="38" t="s">
        <v>334</v>
      </c>
      <c r="D183" s="38">
        <v>2011</v>
      </c>
      <c r="E183" s="38">
        <v>2008</v>
      </c>
      <c r="F183" s="38" t="s">
        <v>336</v>
      </c>
      <c r="G183" s="38" t="s">
        <v>335</v>
      </c>
      <c r="H183" s="38">
        <v>46.88</v>
      </c>
      <c r="I183" s="38">
        <v>-102.79</v>
      </c>
      <c r="J183" s="38">
        <v>735.8</v>
      </c>
      <c r="K183" s="38"/>
      <c r="L183" s="38"/>
      <c r="M183" s="38"/>
      <c r="N183" s="38"/>
      <c r="O183" s="38"/>
      <c r="P183" s="57">
        <v>1</v>
      </c>
      <c r="Q183" s="57"/>
      <c r="R183" s="57"/>
      <c r="S183" s="57" t="s">
        <v>1553</v>
      </c>
      <c r="T183" s="57" t="s">
        <v>1553</v>
      </c>
      <c r="U183" s="57" t="s">
        <v>1553</v>
      </c>
      <c r="V183" s="57" t="s">
        <v>1553</v>
      </c>
      <c r="W183" s="38"/>
      <c r="X183" s="38"/>
      <c r="Y183" s="38"/>
      <c r="Z183" s="38" t="s">
        <v>167</v>
      </c>
      <c r="AA183" s="38"/>
      <c r="AB183" s="38"/>
      <c r="AC183" s="38"/>
      <c r="AD183" s="38"/>
      <c r="AE183" s="38" t="s">
        <v>1754</v>
      </c>
      <c r="AF183" s="152" t="s">
        <v>1762</v>
      </c>
      <c r="AG183" s="38" t="s">
        <v>267</v>
      </c>
      <c r="AH183" s="155" t="s">
        <v>267</v>
      </c>
      <c r="AI183" s="38" t="s">
        <v>1799</v>
      </c>
      <c r="AJ183" s="38" t="s">
        <v>1799</v>
      </c>
      <c r="AK183" s="38" t="s">
        <v>212</v>
      </c>
      <c r="AL183" s="38" t="s">
        <v>256</v>
      </c>
      <c r="AM183" s="38" t="s">
        <v>256</v>
      </c>
      <c r="AN183" s="38" t="s">
        <v>212</v>
      </c>
      <c r="AO183" s="38"/>
      <c r="AP183" s="38"/>
      <c r="AQ183" s="38"/>
      <c r="AR183" s="38" t="s">
        <v>147</v>
      </c>
      <c r="AV183" s="5">
        <v>3535</v>
      </c>
      <c r="AY183" s="64" t="s">
        <v>339</v>
      </c>
      <c r="DO183" s="23">
        <v>569</v>
      </c>
      <c r="DP183" s="5">
        <v>286</v>
      </c>
      <c r="EJ183" s="12"/>
      <c r="EL183" s="15"/>
      <c r="FN183" s="38"/>
      <c r="FO183" s="38"/>
      <c r="FP183" s="38"/>
      <c r="FQ183" s="38"/>
      <c r="FR183" s="38" t="s">
        <v>804</v>
      </c>
      <c r="FT183" s="38">
        <v>14</v>
      </c>
    </row>
    <row r="184" spans="1:176" s="23" customFormat="1" x14ac:dyDescent="0.25">
      <c r="A184" s="23">
        <v>14</v>
      </c>
      <c r="B184" s="23" t="s">
        <v>333</v>
      </c>
      <c r="C184" s="23" t="s">
        <v>334</v>
      </c>
      <c r="D184" s="23">
        <v>2011</v>
      </c>
      <c r="E184" s="23">
        <v>2008</v>
      </c>
      <c r="F184" s="23" t="s">
        <v>336</v>
      </c>
      <c r="G184" s="23" t="s">
        <v>335</v>
      </c>
      <c r="H184" s="23">
        <v>46.88</v>
      </c>
      <c r="I184" s="23">
        <v>-102.79</v>
      </c>
      <c r="J184" s="23">
        <v>735.8</v>
      </c>
      <c r="P184" s="53">
        <v>1</v>
      </c>
      <c r="Q184" s="53"/>
      <c r="R184" s="53"/>
      <c r="S184" s="53" t="s">
        <v>1553</v>
      </c>
      <c r="T184" s="53" t="s">
        <v>1553</v>
      </c>
      <c r="U184" s="53" t="s">
        <v>1553</v>
      </c>
      <c r="V184" s="53" t="s">
        <v>1553</v>
      </c>
      <c r="Z184" s="23" t="s">
        <v>167</v>
      </c>
      <c r="AE184" s="23" t="s">
        <v>1754</v>
      </c>
      <c r="AF184" s="152" t="s">
        <v>1762</v>
      </c>
      <c r="AG184" s="23" t="s">
        <v>267</v>
      </c>
      <c r="AH184" s="155" t="s">
        <v>267</v>
      </c>
      <c r="AI184" s="23" t="s">
        <v>1799</v>
      </c>
      <c r="AJ184" s="23" t="s">
        <v>1799</v>
      </c>
      <c r="AK184" s="23" t="s">
        <v>212</v>
      </c>
      <c r="AL184" s="23" t="s">
        <v>256</v>
      </c>
      <c r="AM184" s="23" t="s">
        <v>256</v>
      </c>
      <c r="AN184" s="23" t="s">
        <v>212</v>
      </c>
      <c r="AR184" s="23" t="s">
        <v>147</v>
      </c>
      <c r="AV184" s="23">
        <v>2765</v>
      </c>
      <c r="AY184" s="64" t="s">
        <v>337</v>
      </c>
      <c r="DO184" s="23">
        <v>309</v>
      </c>
      <c r="DP184" s="23">
        <v>172</v>
      </c>
      <c r="EJ184" s="12"/>
      <c r="EL184" s="15"/>
      <c r="FR184" s="23" t="s">
        <v>804</v>
      </c>
      <c r="FT184" s="23">
        <v>14</v>
      </c>
    </row>
    <row r="185" spans="1:176" s="23" customFormat="1" x14ac:dyDescent="0.25">
      <c r="A185" s="23">
        <v>14</v>
      </c>
      <c r="B185" s="23" t="s">
        <v>333</v>
      </c>
      <c r="C185" s="23" t="s">
        <v>334</v>
      </c>
      <c r="D185" s="23">
        <v>2011</v>
      </c>
      <c r="E185" s="23">
        <v>2008</v>
      </c>
      <c r="F185" s="23" t="s">
        <v>336</v>
      </c>
      <c r="G185" s="23" t="s">
        <v>335</v>
      </c>
      <c r="H185" s="23">
        <v>46.88</v>
      </c>
      <c r="I185" s="23">
        <v>-102.79</v>
      </c>
      <c r="J185" s="23">
        <v>735.8</v>
      </c>
      <c r="P185" s="53">
        <v>1</v>
      </c>
      <c r="Q185" s="53"/>
      <c r="R185" s="53"/>
      <c r="S185" s="53" t="s">
        <v>1553</v>
      </c>
      <c r="T185" s="53" t="s">
        <v>1553</v>
      </c>
      <c r="U185" s="53" t="s">
        <v>1553</v>
      </c>
      <c r="V185" s="53" t="s">
        <v>1553</v>
      </c>
      <c r="Z185" s="23" t="s">
        <v>167</v>
      </c>
      <c r="AE185" s="23" t="s">
        <v>1754</v>
      </c>
      <c r="AF185" s="152" t="s">
        <v>1762</v>
      </c>
      <c r="AG185" s="23" t="s">
        <v>267</v>
      </c>
      <c r="AH185" s="155" t="s">
        <v>267</v>
      </c>
      <c r="AI185" s="23" t="s">
        <v>1799</v>
      </c>
      <c r="AJ185" s="23" t="s">
        <v>1799</v>
      </c>
      <c r="AK185" s="23" t="s">
        <v>212</v>
      </c>
      <c r="AL185" s="23" t="s">
        <v>256</v>
      </c>
      <c r="AM185" s="23" t="s">
        <v>256</v>
      </c>
      <c r="AN185" s="23" t="s">
        <v>212</v>
      </c>
      <c r="AR185" s="23" t="s">
        <v>147</v>
      </c>
      <c r="AV185" s="23">
        <v>2765</v>
      </c>
      <c r="AY185" s="64" t="s">
        <v>338</v>
      </c>
      <c r="DO185" s="23">
        <v>196</v>
      </c>
      <c r="DP185" s="23">
        <v>172</v>
      </c>
      <c r="EJ185" s="12"/>
      <c r="EL185" s="15"/>
      <c r="FR185" s="23" t="s">
        <v>804</v>
      </c>
      <c r="FT185" s="23">
        <v>14</v>
      </c>
    </row>
    <row r="186" spans="1:176" s="23" customFormat="1" x14ac:dyDescent="0.25">
      <c r="A186" s="23">
        <v>14</v>
      </c>
      <c r="B186" s="23" t="s">
        <v>333</v>
      </c>
      <c r="C186" s="23" t="s">
        <v>334</v>
      </c>
      <c r="D186" s="23">
        <v>2011</v>
      </c>
      <c r="E186" s="23">
        <v>2008</v>
      </c>
      <c r="F186" s="23" t="s">
        <v>336</v>
      </c>
      <c r="G186" s="23" t="s">
        <v>335</v>
      </c>
      <c r="H186" s="23">
        <v>46.88</v>
      </c>
      <c r="I186" s="23">
        <v>-102.79</v>
      </c>
      <c r="J186" s="23">
        <v>735.8</v>
      </c>
      <c r="P186" s="53">
        <v>1</v>
      </c>
      <c r="Q186" s="53"/>
      <c r="R186" s="53"/>
      <c r="S186" s="53" t="s">
        <v>1553</v>
      </c>
      <c r="T186" s="53" t="s">
        <v>1553</v>
      </c>
      <c r="U186" s="53" t="s">
        <v>1553</v>
      </c>
      <c r="V186" s="53" t="s">
        <v>1553</v>
      </c>
      <c r="Z186" s="23" t="s">
        <v>167</v>
      </c>
      <c r="AE186" s="23" t="s">
        <v>1754</v>
      </c>
      <c r="AF186" s="152" t="s">
        <v>1762</v>
      </c>
      <c r="AG186" s="23" t="s">
        <v>267</v>
      </c>
      <c r="AH186" s="155" t="s">
        <v>267</v>
      </c>
      <c r="AI186" s="23" t="s">
        <v>1799</v>
      </c>
      <c r="AJ186" s="23" t="s">
        <v>1799</v>
      </c>
      <c r="AK186" s="23" t="s">
        <v>212</v>
      </c>
      <c r="AL186" s="23" t="s">
        <v>256</v>
      </c>
      <c r="AM186" s="23" t="s">
        <v>256</v>
      </c>
      <c r="AN186" s="23" t="s">
        <v>212</v>
      </c>
      <c r="AR186" s="23" t="s">
        <v>147</v>
      </c>
      <c r="AV186" s="23">
        <v>2765</v>
      </c>
      <c r="AY186" s="64" t="s">
        <v>339</v>
      </c>
      <c r="DO186" s="23">
        <v>569</v>
      </c>
      <c r="DP186" s="23">
        <v>172</v>
      </c>
      <c r="EJ186" s="12"/>
      <c r="EL186" s="15"/>
      <c r="FR186" s="23" t="s">
        <v>804</v>
      </c>
      <c r="FT186" s="23">
        <v>14</v>
      </c>
    </row>
    <row r="187" spans="1:176" s="5" customFormat="1" x14ac:dyDescent="0.25">
      <c r="A187" s="38">
        <v>14</v>
      </c>
      <c r="B187" s="38" t="s">
        <v>333</v>
      </c>
      <c r="C187" s="38" t="s">
        <v>334</v>
      </c>
      <c r="D187" s="38">
        <v>2011</v>
      </c>
      <c r="E187" s="38">
        <v>2009</v>
      </c>
      <c r="F187" s="38" t="s">
        <v>336</v>
      </c>
      <c r="G187" s="38" t="s">
        <v>335</v>
      </c>
      <c r="H187" s="38">
        <v>46.88</v>
      </c>
      <c r="I187" s="38">
        <v>-102.79</v>
      </c>
      <c r="J187" s="38">
        <v>735.8</v>
      </c>
      <c r="K187" s="38"/>
      <c r="L187" s="38"/>
      <c r="M187" s="38"/>
      <c r="N187" s="38"/>
      <c r="O187" s="38"/>
      <c r="P187" s="57">
        <v>2</v>
      </c>
      <c r="Q187" s="57"/>
      <c r="R187" s="57"/>
      <c r="S187" s="57" t="s">
        <v>1553</v>
      </c>
      <c r="T187" s="57" t="s">
        <v>1553</v>
      </c>
      <c r="U187" s="57" t="s">
        <v>1553</v>
      </c>
      <c r="V187" s="57" t="s">
        <v>1553</v>
      </c>
      <c r="W187" s="38"/>
      <c r="X187" s="38"/>
      <c r="Y187" s="38"/>
      <c r="Z187" s="38" t="s">
        <v>167</v>
      </c>
      <c r="AA187" s="38"/>
      <c r="AB187" s="38"/>
      <c r="AC187" s="38"/>
      <c r="AD187" s="38"/>
      <c r="AE187" s="38" t="s">
        <v>281</v>
      </c>
      <c r="AF187" s="152" t="s">
        <v>666</v>
      </c>
      <c r="AG187" s="38" t="s">
        <v>267</v>
      </c>
      <c r="AH187" s="155" t="s">
        <v>267</v>
      </c>
      <c r="AI187" s="38" t="s">
        <v>1799</v>
      </c>
      <c r="AJ187" s="38" t="s">
        <v>1799</v>
      </c>
      <c r="AK187" s="38" t="s">
        <v>212</v>
      </c>
      <c r="AL187" s="38" t="s">
        <v>256</v>
      </c>
      <c r="AM187" s="38" t="s">
        <v>256</v>
      </c>
      <c r="AN187" s="38" t="s">
        <v>212</v>
      </c>
      <c r="AO187" s="38"/>
      <c r="AP187" s="38"/>
      <c r="AQ187" s="38"/>
      <c r="AR187" s="38" t="s">
        <v>147</v>
      </c>
      <c r="AV187" s="5">
        <v>702</v>
      </c>
      <c r="AY187" s="64" t="s">
        <v>337</v>
      </c>
      <c r="DO187" s="5">
        <v>589</v>
      </c>
      <c r="DP187" s="5">
        <v>1689</v>
      </c>
      <c r="EJ187" s="12"/>
      <c r="EL187" s="15"/>
      <c r="FN187" s="38"/>
      <c r="FO187" s="38"/>
      <c r="FP187" s="38"/>
      <c r="FQ187" s="38"/>
      <c r="FR187" s="38" t="s">
        <v>804</v>
      </c>
      <c r="FT187" s="38">
        <v>14</v>
      </c>
    </row>
    <row r="188" spans="1:176" s="5" customFormat="1" x14ac:dyDescent="0.25">
      <c r="A188" s="38">
        <v>14</v>
      </c>
      <c r="B188" s="38" t="s">
        <v>333</v>
      </c>
      <c r="C188" s="38" t="s">
        <v>334</v>
      </c>
      <c r="D188" s="38">
        <v>2011</v>
      </c>
      <c r="E188" s="38">
        <v>2009</v>
      </c>
      <c r="F188" s="38" t="s">
        <v>336</v>
      </c>
      <c r="G188" s="38" t="s">
        <v>335</v>
      </c>
      <c r="H188" s="38">
        <v>46.88</v>
      </c>
      <c r="I188" s="38">
        <v>-102.79</v>
      </c>
      <c r="J188" s="38">
        <v>735.8</v>
      </c>
      <c r="K188" s="38"/>
      <c r="L188" s="38"/>
      <c r="M188" s="38"/>
      <c r="N188" s="38"/>
      <c r="O188" s="38"/>
      <c r="P188" s="57">
        <v>2</v>
      </c>
      <c r="Q188" s="57"/>
      <c r="R188" s="57"/>
      <c r="S188" s="57" t="s">
        <v>1553</v>
      </c>
      <c r="T188" s="57" t="s">
        <v>1553</v>
      </c>
      <c r="U188" s="57" t="s">
        <v>1553</v>
      </c>
      <c r="V188" s="57" t="s">
        <v>1553</v>
      </c>
      <c r="W188" s="38"/>
      <c r="X188" s="38"/>
      <c r="Y188" s="38"/>
      <c r="Z188" s="38" t="s">
        <v>167</v>
      </c>
      <c r="AA188" s="38"/>
      <c r="AB188" s="38"/>
      <c r="AC188" s="38"/>
      <c r="AD188" s="38"/>
      <c r="AE188" s="38" t="s">
        <v>281</v>
      </c>
      <c r="AF188" s="152" t="s">
        <v>666</v>
      </c>
      <c r="AG188" s="38" t="s">
        <v>267</v>
      </c>
      <c r="AH188" s="155" t="s">
        <v>267</v>
      </c>
      <c r="AI188" s="38" t="s">
        <v>1799</v>
      </c>
      <c r="AJ188" s="38" t="s">
        <v>1799</v>
      </c>
      <c r="AK188" s="38" t="s">
        <v>212</v>
      </c>
      <c r="AL188" s="38" t="s">
        <v>256</v>
      </c>
      <c r="AM188" s="38" t="s">
        <v>256</v>
      </c>
      <c r="AN188" s="38" t="s">
        <v>212</v>
      </c>
      <c r="AO188" s="38"/>
      <c r="AP188" s="38"/>
      <c r="AQ188" s="38"/>
      <c r="AR188" s="38" t="s">
        <v>147</v>
      </c>
      <c r="AV188" s="5">
        <v>702</v>
      </c>
      <c r="AY188" s="64" t="s">
        <v>338</v>
      </c>
      <c r="DO188" s="5">
        <v>944</v>
      </c>
      <c r="DP188" s="5">
        <v>1689</v>
      </c>
      <c r="EJ188" s="12"/>
      <c r="EL188" s="15"/>
      <c r="FN188" s="38"/>
      <c r="FO188" s="38"/>
      <c r="FP188" s="38"/>
      <c r="FQ188" s="38"/>
      <c r="FR188" s="38" t="s">
        <v>804</v>
      </c>
      <c r="FT188" s="38">
        <v>14</v>
      </c>
    </row>
    <row r="189" spans="1:176" s="5" customFormat="1" x14ac:dyDescent="0.25">
      <c r="A189" s="38">
        <v>14</v>
      </c>
      <c r="B189" s="38" t="s">
        <v>333</v>
      </c>
      <c r="C189" s="38" t="s">
        <v>334</v>
      </c>
      <c r="D189" s="38">
        <v>2011</v>
      </c>
      <c r="E189" s="38">
        <v>2009</v>
      </c>
      <c r="F189" s="38" t="s">
        <v>336</v>
      </c>
      <c r="G189" s="38" t="s">
        <v>335</v>
      </c>
      <c r="H189" s="38">
        <v>46.88</v>
      </c>
      <c r="I189" s="38">
        <v>-102.79</v>
      </c>
      <c r="J189" s="38">
        <v>735.8</v>
      </c>
      <c r="K189" s="38"/>
      <c r="L189" s="38"/>
      <c r="M189" s="38"/>
      <c r="N189" s="38"/>
      <c r="O189" s="38"/>
      <c r="P189" s="57">
        <v>2</v>
      </c>
      <c r="Q189" s="57"/>
      <c r="R189" s="57"/>
      <c r="S189" s="57" t="s">
        <v>1553</v>
      </c>
      <c r="T189" s="57" t="s">
        <v>1553</v>
      </c>
      <c r="U189" s="57" t="s">
        <v>1553</v>
      </c>
      <c r="V189" s="57" t="s">
        <v>1553</v>
      </c>
      <c r="W189" s="38"/>
      <c r="X189" s="38"/>
      <c r="Y189" s="38"/>
      <c r="Z189" s="38" t="s">
        <v>167</v>
      </c>
      <c r="AA189" s="38"/>
      <c r="AB189" s="38"/>
      <c r="AC189" s="38"/>
      <c r="AD189" s="38"/>
      <c r="AE189" s="38" t="s">
        <v>281</v>
      </c>
      <c r="AF189" s="152" t="s">
        <v>666</v>
      </c>
      <c r="AG189" s="38" t="s">
        <v>267</v>
      </c>
      <c r="AH189" s="155" t="s">
        <v>267</v>
      </c>
      <c r="AI189" s="38" t="s">
        <v>1799</v>
      </c>
      <c r="AJ189" s="38" t="s">
        <v>1799</v>
      </c>
      <c r="AK189" s="38" t="s">
        <v>212</v>
      </c>
      <c r="AL189" s="38" t="s">
        <v>256</v>
      </c>
      <c r="AM189" s="38" t="s">
        <v>256</v>
      </c>
      <c r="AN189" s="38" t="s">
        <v>212</v>
      </c>
      <c r="AO189" s="38"/>
      <c r="AP189" s="38"/>
      <c r="AQ189" s="38"/>
      <c r="AR189" s="38" t="s">
        <v>147</v>
      </c>
      <c r="AV189" s="5">
        <v>702</v>
      </c>
      <c r="AY189" s="64" t="s">
        <v>339</v>
      </c>
      <c r="DO189" s="5">
        <v>404</v>
      </c>
      <c r="DP189" s="5">
        <v>1689</v>
      </c>
      <c r="EJ189" s="12"/>
      <c r="EL189" s="15"/>
      <c r="FN189" s="38"/>
      <c r="FO189" s="38"/>
      <c r="FP189" s="38"/>
      <c r="FQ189" s="38"/>
      <c r="FR189" s="38" t="s">
        <v>804</v>
      </c>
      <c r="FT189" s="38">
        <v>14</v>
      </c>
    </row>
    <row r="190" spans="1:176" s="23" customFormat="1" x14ac:dyDescent="0.25">
      <c r="A190" s="23">
        <v>14</v>
      </c>
      <c r="B190" s="23" t="s">
        <v>333</v>
      </c>
      <c r="C190" s="23" t="s">
        <v>334</v>
      </c>
      <c r="D190" s="23">
        <v>2011</v>
      </c>
      <c r="E190" s="23">
        <v>2009</v>
      </c>
      <c r="F190" s="23" t="s">
        <v>336</v>
      </c>
      <c r="G190" s="23" t="s">
        <v>335</v>
      </c>
      <c r="H190" s="23">
        <v>46.88</v>
      </c>
      <c r="I190" s="23">
        <v>-102.79</v>
      </c>
      <c r="J190" s="23">
        <v>735.8</v>
      </c>
      <c r="P190" s="53">
        <v>2</v>
      </c>
      <c r="Q190" s="53"/>
      <c r="R190" s="53"/>
      <c r="S190" s="53" t="s">
        <v>1553</v>
      </c>
      <c r="T190" s="53" t="s">
        <v>1553</v>
      </c>
      <c r="U190" s="53" t="s">
        <v>1553</v>
      </c>
      <c r="V190" s="53" t="s">
        <v>1553</v>
      </c>
      <c r="Z190" s="23" t="s">
        <v>167</v>
      </c>
      <c r="AE190" s="23" t="s">
        <v>281</v>
      </c>
      <c r="AF190" s="152" t="s">
        <v>666</v>
      </c>
      <c r="AG190" s="23" t="s">
        <v>267</v>
      </c>
      <c r="AH190" s="155" t="s">
        <v>267</v>
      </c>
      <c r="AI190" s="23" t="s">
        <v>1799</v>
      </c>
      <c r="AJ190" s="23" t="s">
        <v>1799</v>
      </c>
      <c r="AK190" s="23" t="s">
        <v>212</v>
      </c>
      <c r="AL190" s="23" t="s">
        <v>256</v>
      </c>
      <c r="AM190" s="23" t="s">
        <v>256</v>
      </c>
      <c r="AN190" s="23" t="s">
        <v>212</v>
      </c>
      <c r="AR190" s="23" t="s">
        <v>147</v>
      </c>
      <c r="AV190" s="23">
        <v>4919</v>
      </c>
      <c r="AY190" s="64" t="s">
        <v>337</v>
      </c>
      <c r="DO190" s="5">
        <v>589</v>
      </c>
      <c r="DP190" s="23">
        <v>75</v>
      </c>
      <c r="EJ190" s="12"/>
      <c r="EL190" s="15"/>
      <c r="FR190" s="23" t="s">
        <v>804</v>
      </c>
      <c r="FT190" s="23">
        <v>14</v>
      </c>
    </row>
    <row r="191" spans="1:176" s="23" customFormat="1" x14ac:dyDescent="0.25">
      <c r="A191" s="23">
        <v>14</v>
      </c>
      <c r="B191" s="23" t="s">
        <v>333</v>
      </c>
      <c r="C191" s="23" t="s">
        <v>334</v>
      </c>
      <c r="D191" s="23">
        <v>2011</v>
      </c>
      <c r="E191" s="23">
        <v>2009</v>
      </c>
      <c r="F191" s="23" t="s">
        <v>336</v>
      </c>
      <c r="G191" s="23" t="s">
        <v>335</v>
      </c>
      <c r="H191" s="23">
        <v>46.88</v>
      </c>
      <c r="I191" s="23">
        <v>-102.79</v>
      </c>
      <c r="J191" s="23">
        <v>735.8</v>
      </c>
      <c r="P191" s="53">
        <v>2</v>
      </c>
      <c r="Q191" s="53"/>
      <c r="R191" s="53"/>
      <c r="S191" s="53" t="s">
        <v>1553</v>
      </c>
      <c r="T191" s="53" t="s">
        <v>1553</v>
      </c>
      <c r="U191" s="53" t="s">
        <v>1553</v>
      </c>
      <c r="V191" s="53" t="s">
        <v>1553</v>
      </c>
      <c r="Z191" s="23" t="s">
        <v>167</v>
      </c>
      <c r="AE191" s="23" t="s">
        <v>281</v>
      </c>
      <c r="AF191" s="152" t="s">
        <v>666</v>
      </c>
      <c r="AG191" s="23" t="s">
        <v>267</v>
      </c>
      <c r="AH191" s="155" t="s">
        <v>267</v>
      </c>
      <c r="AI191" s="23" t="s">
        <v>1799</v>
      </c>
      <c r="AJ191" s="23" t="s">
        <v>1799</v>
      </c>
      <c r="AK191" s="23" t="s">
        <v>212</v>
      </c>
      <c r="AL191" s="23" t="s">
        <v>256</v>
      </c>
      <c r="AM191" s="23" t="s">
        <v>256</v>
      </c>
      <c r="AN191" s="23" t="s">
        <v>212</v>
      </c>
      <c r="AR191" s="23" t="s">
        <v>147</v>
      </c>
      <c r="AV191" s="23">
        <v>4919</v>
      </c>
      <c r="AY191" s="64" t="s">
        <v>338</v>
      </c>
      <c r="DO191" s="5">
        <v>944</v>
      </c>
      <c r="DP191" s="23">
        <v>75</v>
      </c>
      <c r="EJ191" s="12"/>
      <c r="EL191" s="15"/>
      <c r="FR191" s="23" t="s">
        <v>804</v>
      </c>
      <c r="FT191" s="23">
        <v>14</v>
      </c>
    </row>
    <row r="192" spans="1:176" s="23" customFormat="1" x14ac:dyDescent="0.25">
      <c r="A192" s="23">
        <v>14</v>
      </c>
      <c r="B192" s="23" t="s">
        <v>333</v>
      </c>
      <c r="C192" s="23" t="s">
        <v>334</v>
      </c>
      <c r="D192" s="23">
        <v>2011</v>
      </c>
      <c r="E192" s="23">
        <v>2009</v>
      </c>
      <c r="F192" s="23" t="s">
        <v>336</v>
      </c>
      <c r="G192" s="23" t="s">
        <v>335</v>
      </c>
      <c r="H192" s="23">
        <v>46.88</v>
      </c>
      <c r="I192" s="23">
        <v>-102.79</v>
      </c>
      <c r="J192" s="23">
        <v>735.8</v>
      </c>
      <c r="P192" s="53">
        <v>2</v>
      </c>
      <c r="Q192" s="53"/>
      <c r="R192" s="53"/>
      <c r="S192" s="53" t="s">
        <v>1553</v>
      </c>
      <c r="T192" s="53" t="s">
        <v>1553</v>
      </c>
      <c r="U192" s="53" t="s">
        <v>1553</v>
      </c>
      <c r="V192" s="53" t="s">
        <v>1553</v>
      </c>
      <c r="Z192" s="23" t="s">
        <v>167</v>
      </c>
      <c r="AE192" s="23" t="s">
        <v>281</v>
      </c>
      <c r="AF192" s="152" t="s">
        <v>666</v>
      </c>
      <c r="AG192" s="23" t="s">
        <v>267</v>
      </c>
      <c r="AH192" s="155" t="s">
        <v>267</v>
      </c>
      <c r="AI192" s="23" t="s">
        <v>1799</v>
      </c>
      <c r="AJ192" s="23" t="s">
        <v>1799</v>
      </c>
      <c r="AK192" s="23" t="s">
        <v>212</v>
      </c>
      <c r="AL192" s="23" t="s">
        <v>256</v>
      </c>
      <c r="AM192" s="23" t="s">
        <v>256</v>
      </c>
      <c r="AN192" s="23" t="s">
        <v>212</v>
      </c>
      <c r="AR192" s="23" t="s">
        <v>147</v>
      </c>
      <c r="AV192" s="23">
        <v>4919</v>
      </c>
      <c r="AY192" s="64" t="s">
        <v>339</v>
      </c>
      <c r="DO192" s="5">
        <v>404</v>
      </c>
      <c r="DP192" s="23">
        <v>75</v>
      </c>
      <c r="EJ192" s="12"/>
      <c r="EL192" s="15"/>
      <c r="FR192" s="23" t="s">
        <v>804</v>
      </c>
      <c r="FT192" s="23">
        <v>14</v>
      </c>
    </row>
    <row r="193" spans="1:176" s="5" customFormat="1" x14ac:dyDescent="0.25">
      <c r="A193" s="38">
        <v>14</v>
      </c>
      <c r="B193" s="38" t="s">
        <v>333</v>
      </c>
      <c r="C193" s="38" t="s">
        <v>334</v>
      </c>
      <c r="D193" s="38">
        <v>2011</v>
      </c>
      <c r="E193" s="38">
        <v>2009</v>
      </c>
      <c r="F193" s="38" t="s">
        <v>336</v>
      </c>
      <c r="G193" s="38" t="s">
        <v>335</v>
      </c>
      <c r="H193" s="38">
        <v>46.88</v>
      </c>
      <c r="I193" s="38">
        <v>-102.79</v>
      </c>
      <c r="J193" s="38">
        <v>735.8</v>
      </c>
      <c r="K193" s="38"/>
      <c r="L193" s="38"/>
      <c r="M193" s="38"/>
      <c r="N193" s="38"/>
      <c r="O193" s="38"/>
      <c r="P193" s="57">
        <v>2</v>
      </c>
      <c r="Q193" s="57"/>
      <c r="R193" s="57"/>
      <c r="S193" s="57" t="s">
        <v>1553</v>
      </c>
      <c r="T193" s="57" t="s">
        <v>1553</v>
      </c>
      <c r="U193" s="57" t="s">
        <v>1553</v>
      </c>
      <c r="V193" s="57" t="s">
        <v>1553</v>
      </c>
      <c r="W193" s="38"/>
      <c r="X193" s="38"/>
      <c r="Y193" s="38"/>
      <c r="Z193" s="38" t="s">
        <v>167</v>
      </c>
      <c r="AA193" s="38"/>
      <c r="AB193" s="38"/>
      <c r="AC193" s="38"/>
      <c r="AD193" s="38"/>
      <c r="AE193" s="38" t="s">
        <v>1743</v>
      </c>
      <c r="AF193" s="152" t="s">
        <v>159</v>
      </c>
      <c r="AG193" s="38" t="s">
        <v>267</v>
      </c>
      <c r="AH193" s="155" t="s">
        <v>267</v>
      </c>
      <c r="AI193" s="38" t="s">
        <v>1799</v>
      </c>
      <c r="AJ193" s="38" t="s">
        <v>1799</v>
      </c>
      <c r="AK193" s="38" t="s">
        <v>212</v>
      </c>
      <c r="AL193" s="38" t="s">
        <v>256</v>
      </c>
      <c r="AM193" s="38" t="s">
        <v>256</v>
      </c>
      <c r="AN193" s="38" t="s">
        <v>212</v>
      </c>
      <c r="AO193" s="38"/>
      <c r="AP193" s="38"/>
      <c r="AQ193" s="38"/>
      <c r="AR193" s="38" t="s">
        <v>147</v>
      </c>
      <c r="AV193" s="5">
        <v>3182</v>
      </c>
      <c r="AY193" s="64" t="s">
        <v>337</v>
      </c>
      <c r="DO193" s="5">
        <v>589</v>
      </c>
      <c r="DP193" s="5">
        <v>460</v>
      </c>
      <c r="EJ193" s="12"/>
      <c r="EL193" s="15"/>
      <c r="FN193" s="38"/>
      <c r="FO193" s="38"/>
      <c r="FP193" s="38"/>
      <c r="FQ193" s="38"/>
      <c r="FR193" s="38" t="s">
        <v>804</v>
      </c>
      <c r="FT193" s="38">
        <v>14</v>
      </c>
    </row>
    <row r="194" spans="1:176" s="5" customFormat="1" x14ac:dyDescent="0.25">
      <c r="A194" s="38">
        <v>14</v>
      </c>
      <c r="B194" s="38" t="s">
        <v>333</v>
      </c>
      <c r="C194" s="38" t="s">
        <v>334</v>
      </c>
      <c r="D194" s="38">
        <v>2011</v>
      </c>
      <c r="E194" s="38">
        <v>2009</v>
      </c>
      <c r="F194" s="38" t="s">
        <v>336</v>
      </c>
      <c r="G194" s="38" t="s">
        <v>335</v>
      </c>
      <c r="H194" s="38">
        <v>46.88</v>
      </c>
      <c r="I194" s="38">
        <v>-102.79</v>
      </c>
      <c r="J194" s="38">
        <v>735.8</v>
      </c>
      <c r="K194" s="38"/>
      <c r="L194" s="38"/>
      <c r="M194" s="38"/>
      <c r="N194" s="38"/>
      <c r="O194" s="38"/>
      <c r="P194" s="57">
        <v>2</v>
      </c>
      <c r="Q194" s="57"/>
      <c r="R194" s="57"/>
      <c r="S194" s="57" t="s">
        <v>1553</v>
      </c>
      <c r="T194" s="57" t="s">
        <v>1553</v>
      </c>
      <c r="U194" s="57" t="s">
        <v>1553</v>
      </c>
      <c r="V194" s="57" t="s">
        <v>1553</v>
      </c>
      <c r="W194" s="38"/>
      <c r="X194" s="38"/>
      <c r="Y194" s="38"/>
      <c r="Z194" s="38" t="s">
        <v>167</v>
      </c>
      <c r="AA194" s="38"/>
      <c r="AB194" s="38"/>
      <c r="AC194" s="38"/>
      <c r="AD194" s="38"/>
      <c r="AE194" s="38" t="s">
        <v>1743</v>
      </c>
      <c r="AF194" s="152" t="s">
        <v>159</v>
      </c>
      <c r="AG194" s="38" t="s">
        <v>267</v>
      </c>
      <c r="AH194" s="155" t="s">
        <v>267</v>
      </c>
      <c r="AI194" s="38" t="s">
        <v>1799</v>
      </c>
      <c r="AJ194" s="38" t="s">
        <v>1799</v>
      </c>
      <c r="AK194" s="38" t="s">
        <v>212</v>
      </c>
      <c r="AL194" s="38" t="s">
        <v>256</v>
      </c>
      <c r="AM194" s="38" t="s">
        <v>256</v>
      </c>
      <c r="AN194" s="38" t="s">
        <v>212</v>
      </c>
      <c r="AO194" s="38"/>
      <c r="AP194" s="38"/>
      <c r="AQ194" s="38"/>
      <c r="AR194" s="38" t="s">
        <v>147</v>
      </c>
      <c r="AV194" s="5">
        <v>3182</v>
      </c>
      <c r="AY194" s="64" t="s">
        <v>338</v>
      </c>
      <c r="DO194" s="5">
        <v>944</v>
      </c>
      <c r="DP194" s="5">
        <v>460</v>
      </c>
      <c r="EJ194" s="12"/>
      <c r="EL194" s="15"/>
      <c r="FN194" s="38"/>
      <c r="FO194" s="38"/>
      <c r="FP194" s="38"/>
      <c r="FQ194" s="38"/>
      <c r="FR194" s="38" t="s">
        <v>804</v>
      </c>
      <c r="FT194" s="38">
        <v>14</v>
      </c>
    </row>
    <row r="195" spans="1:176" s="5" customFormat="1" x14ac:dyDescent="0.25">
      <c r="A195" s="38">
        <v>14</v>
      </c>
      <c r="B195" s="38" t="s">
        <v>333</v>
      </c>
      <c r="C195" s="38" t="s">
        <v>334</v>
      </c>
      <c r="D195" s="38">
        <v>2011</v>
      </c>
      <c r="E195" s="38">
        <v>2009</v>
      </c>
      <c r="F195" s="38" t="s">
        <v>336</v>
      </c>
      <c r="G195" s="38" t="s">
        <v>335</v>
      </c>
      <c r="H195" s="38">
        <v>46.88</v>
      </c>
      <c r="I195" s="38">
        <v>-102.79</v>
      </c>
      <c r="J195" s="38">
        <v>735.8</v>
      </c>
      <c r="K195" s="38"/>
      <c r="L195" s="38"/>
      <c r="M195" s="38"/>
      <c r="N195" s="38"/>
      <c r="O195" s="38"/>
      <c r="P195" s="57">
        <v>2</v>
      </c>
      <c r="Q195" s="57"/>
      <c r="R195" s="57"/>
      <c r="S195" s="57" t="s">
        <v>1553</v>
      </c>
      <c r="T195" s="57" t="s">
        <v>1553</v>
      </c>
      <c r="U195" s="57" t="s">
        <v>1553</v>
      </c>
      <c r="V195" s="57" t="s">
        <v>1553</v>
      </c>
      <c r="W195" s="38"/>
      <c r="X195" s="38"/>
      <c r="Y195" s="38"/>
      <c r="Z195" s="38" t="s">
        <v>167</v>
      </c>
      <c r="AA195" s="38"/>
      <c r="AB195" s="38"/>
      <c r="AC195" s="38"/>
      <c r="AD195" s="38"/>
      <c r="AE195" s="38" t="s">
        <v>1743</v>
      </c>
      <c r="AF195" s="152" t="s">
        <v>159</v>
      </c>
      <c r="AG195" s="38" t="s">
        <v>267</v>
      </c>
      <c r="AH195" s="155" t="s">
        <v>267</v>
      </c>
      <c r="AI195" s="38" t="s">
        <v>1799</v>
      </c>
      <c r="AJ195" s="38" t="s">
        <v>1799</v>
      </c>
      <c r="AK195" s="38" t="s">
        <v>212</v>
      </c>
      <c r="AL195" s="38" t="s">
        <v>256</v>
      </c>
      <c r="AM195" s="38" t="s">
        <v>256</v>
      </c>
      <c r="AN195" s="38" t="s">
        <v>212</v>
      </c>
      <c r="AO195" s="38"/>
      <c r="AP195" s="38"/>
      <c r="AQ195" s="38"/>
      <c r="AR195" s="38" t="s">
        <v>147</v>
      </c>
      <c r="AV195" s="5">
        <v>3182</v>
      </c>
      <c r="AY195" s="64" t="s">
        <v>339</v>
      </c>
      <c r="DO195" s="5">
        <v>404</v>
      </c>
      <c r="DP195" s="5">
        <v>460</v>
      </c>
      <c r="EJ195" s="12"/>
      <c r="EL195" s="15"/>
      <c r="FN195" s="38"/>
      <c r="FO195" s="38"/>
      <c r="FP195" s="38"/>
      <c r="FQ195" s="38"/>
      <c r="FR195" s="38" t="s">
        <v>804</v>
      </c>
      <c r="FT195" s="38">
        <v>14</v>
      </c>
    </row>
    <row r="196" spans="1:176" s="23" customFormat="1" x14ac:dyDescent="0.25">
      <c r="A196" s="23">
        <v>14</v>
      </c>
      <c r="B196" s="23" t="s">
        <v>333</v>
      </c>
      <c r="C196" s="23" t="s">
        <v>334</v>
      </c>
      <c r="D196" s="23">
        <v>2011</v>
      </c>
      <c r="E196" s="23">
        <v>2009</v>
      </c>
      <c r="F196" s="23" t="s">
        <v>336</v>
      </c>
      <c r="G196" s="23" t="s">
        <v>335</v>
      </c>
      <c r="H196" s="23">
        <v>46.88</v>
      </c>
      <c r="I196" s="23">
        <v>-102.79</v>
      </c>
      <c r="J196" s="23">
        <v>735.8</v>
      </c>
      <c r="P196" s="53">
        <v>2</v>
      </c>
      <c r="Q196" s="53"/>
      <c r="R196" s="53"/>
      <c r="S196" s="53" t="s">
        <v>1553</v>
      </c>
      <c r="T196" s="53" t="s">
        <v>1553</v>
      </c>
      <c r="U196" s="53" t="s">
        <v>1553</v>
      </c>
      <c r="V196" s="53" t="s">
        <v>1553</v>
      </c>
      <c r="Z196" s="23" t="s">
        <v>167</v>
      </c>
      <c r="AE196" s="23" t="s">
        <v>1754</v>
      </c>
      <c r="AF196" s="152" t="s">
        <v>1762</v>
      </c>
      <c r="AG196" s="23" t="s">
        <v>267</v>
      </c>
      <c r="AH196" s="155" t="s">
        <v>267</v>
      </c>
      <c r="AI196" s="23" t="s">
        <v>1799</v>
      </c>
      <c r="AJ196" s="23" t="s">
        <v>1799</v>
      </c>
      <c r="AK196" s="23" t="s">
        <v>212</v>
      </c>
      <c r="AL196" s="23" t="s">
        <v>256</v>
      </c>
      <c r="AM196" s="23" t="s">
        <v>256</v>
      </c>
      <c r="AN196" s="23" t="s">
        <v>212</v>
      </c>
      <c r="AR196" s="23" t="s">
        <v>147</v>
      </c>
      <c r="AV196" s="23">
        <v>4716</v>
      </c>
      <c r="AY196" s="64" t="s">
        <v>337</v>
      </c>
      <c r="DO196" s="5">
        <v>589</v>
      </c>
      <c r="DP196" s="23">
        <v>297</v>
      </c>
      <c r="EJ196" s="12"/>
      <c r="EL196" s="15"/>
      <c r="FR196" s="23" t="s">
        <v>804</v>
      </c>
      <c r="FT196" s="23">
        <v>14</v>
      </c>
    </row>
    <row r="197" spans="1:176" s="23" customFormat="1" x14ac:dyDescent="0.25">
      <c r="A197" s="23">
        <v>14</v>
      </c>
      <c r="B197" s="23" t="s">
        <v>333</v>
      </c>
      <c r="C197" s="23" t="s">
        <v>334</v>
      </c>
      <c r="D197" s="23">
        <v>2011</v>
      </c>
      <c r="E197" s="23">
        <v>2009</v>
      </c>
      <c r="F197" s="23" t="s">
        <v>336</v>
      </c>
      <c r="G197" s="23" t="s">
        <v>335</v>
      </c>
      <c r="H197" s="23">
        <v>46.88</v>
      </c>
      <c r="I197" s="23">
        <v>-102.79</v>
      </c>
      <c r="J197" s="23">
        <v>735.8</v>
      </c>
      <c r="P197" s="53">
        <v>2</v>
      </c>
      <c r="Q197" s="53"/>
      <c r="R197" s="53"/>
      <c r="S197" s="53" t="s">
        <v>1553</v>
      </c>
      <c r="T197" s="53" t="s">
        <v>1553</v>
      </c>
      <c r="U197" s="53" t="s">
        <v>1553</v>
      </c>
      <c r="V197" s="53" t="s">
        <v>1553</v>
      </c>
      <c r="Z197" s="23" t="s">
        <v>167</v>
      </c>
      <c r="AE197" s="23" t="s">
        <v>1754</v>
      </c>
      <c r="AF197" s="152" t="s">
        <v>1762</v>
      </c>
      <c r="AG197" s="23" t="s">
        <v>267</v>
      </c>
      <c r="AH197" s="155" t="s">
        <v>267</v>
      </c>
      <c r="AI197" s="23" t="s">
        <v>1799</v>
      </c>
      <c r="AJ197" s="23" t="s">
        <v>1799</v>
      </c>
      <c r="AK197" s="23" t="s">
        <v>212</v>
      </c>
      <c r="AL197" s="23" t="s">
        <v>256</v>
      </c>
      <c r="AM197" s="23" t="s">
        <v>256</v>
      </c>
      <c r="AN197" s="23" t="s">
        <v>212</v>
      </c>
      <c r="AR197" s="23" t="s">
        <v>147</v>
      </c>
      <c r="AV197" s="23">
        <v>4716</v>
      </c>
      <c r="AY197" s="64" t="s">
        <v>338</v>
      </c>
      <c r="DO197" s="5">
        <v>944</v>
      </c>
      <c r="DP197" s="23">
        <v>297</v>
      </c>
      <c r="EJ197" s="12"/>
      <c r="EL197" s="15"/>
      <c r="FR197" s="23" t="s">
        <v>804</v>
      </c>
      <c r="FT197" s="23">
        <v>14</v>
      </c>
    </row>
    <row r="198" spans="1:176" s="23" customFormat="1" x14ac:dyDescent="0.25">
      <c r="A198" s="23">
        <v>14</v>
      </c>
      <c r="B198" s="23" t="s">
        <v>333</v>
      </c>
      <c r="C198" s="23" t="s">
        <v>334</v>
      </c>
      <c r="D198" s="23">
        <v>2011</v>
      </c>
      <c r="E198" s="23">
        <v>2009</v>
      </c>
      <c r="F198" s="23" t="s">
        <v>336</v>
      </c>
      <c r="G198" s="23" t="s">
        <v>335</v>
      </c>
      <c r="H198" s="23">
        <v>46.88</v>
      </c>
      <c r="I198" s="23">
        <v>-102.79</v>
      </c>
      <c r="J198" s="23">
        <v>735.8</v>
      </c>
      <c r="P198" s="53">
        <v>2</v>
      </c>
      <c r="Q198" s="53"/>
      <c r="R198" s="53"/>
      <c r="S198" s="53" t="s">
        <v>1553</v>
      </c>
      <c r="T198" s="53" t="s">
        <v>1553</v>
      </c>
      <c r="U198" s="53" t="s">
        <v>1553</v>
      </c>
      <c r="V198" s="53" t="s">
        <v>1553</v>
      </c>
      <c r="Z198" s="23" t="s">
        <v>167</v>
      </c>
      <c r="AE198" s="23" t="s">
        <v>1754</v>
      </c>
      <c r="AF198" s="152" t="s">
        <v>1762</v>
      </c>
      <c r="AG198" s="23" t="s">
        <v>267</v>
      </c>
      <c r="AH198" s="155" t="s">
        <v>267</v>
      </c>
      <c r="AI198" s="23" t="s">
        <v>1799</v>
      </c>
      <c r="AJ198" s="23" t="s">
        <v>1799</v>
      </c>
      <c r="AK198" s="23" t="s">
        <v>212</v>
      </c>
      <c r="AL198" s="23" t="s">
        <v>256</v>
      </c>
      <c r="AM198" s="23" t="s">
        <v>256</v>
      </c>
      <c r="AN198" s="23" t="s">
        <v>212</v>
      </c>
      <c r="AR198" s="23" t="s">
        <v>147</v>
      </c>
      <c r="AV198" s="23">
        <v>4716</v>
      </c>
      <c r="AY198" s="64" t="s">
        <v>339</v>
      </c>
      <c r="DO198" s="5">
        <v>404</v>
      </c>
      <c r="DP198" s="23">
        <v>297</v>
      </c>
      <c r="EJ198" s="12"/>
      <c r="EL198" s="15"/>
      <c r="FR198" s="23" t="s">
        <v>804</v>
      </c>
      <c r="FT198" s="23">
        <v>14</v>
      </c>
    </row>
    <row r="199" spans="1:176" s="38" customFormat="1" x14ac:dyDescent="0.25">
      <c r="A199" s="38">
        <v>14</v>
      </c>
      <c r="B199" s="38" t="s">
        <v>333</v>
      </c>
      <c r="C199" s="38" t="s">
        <v>334</v>
      </c>
      <c r="D199" s="38">
        <v>2011</v>
      </c>
      <c r="E199" s="38">
        <v>2009</v>
      </c>
      <c r="F199" s="38" t="s">
        <v>336</v>
      </c>
      <c r="G199" s="38" t="s">
        <v>335</v>
      </c>
      <c r="H199" s="38">
        <v>46.88</v>
      </c>
      <c r="I199" s="38">
        <v>-102.79</v>
      </c>
      <c r="J199" s="38">
        <v>735.8</v>
      </c>
      <c r="P199" s="57">
        <v>2</v>
      </c>
      <c r="Q199" s="57"/>
      <c r="R199" s="57"/>
      <c r="S199" s="57" t="s">
        <v>1553</v>
      </c>
      <c r="T199" s="57" t="s">
        <v>1553</v>
      </c>
      <c r="U199" s="57" t="s">
        <v>1553</v>
      </c>
      <c r="V199" s="57" t="s">
        <v>1553</v>
      </c>
      <c r="Z199" s="38" t="s">
        <v>167</v>
      </c>
      <c r="AE199" s="38" t="s">
        <v>1754</v>
      </c>
      <c r="AF199" s="152" t="s">
        <v>1762</v>
      </c>
      <c r="AG199" s="38" t="s">
        <v>267</v>
      </c>
      <c r="AH199" s="155" t="s">
        <v>267</v>
      </c>
      <c r="AI199" s="38" t="s">
        <v>1799</v>
      </c>
      <c r="AJ199" s="38" t="s">
        <v>1799</v>
      </c>
      <c r="AK199" s="38" t="s">
        <v>212</v>
      </c>
      <c r="AL199" s="38" t="s">
        <v>256</v>
      </c>
      <c r="AM199" s="38" t="s">
        <v>256</v>
      </c>
      <c r="AN199" s="38" t="s">
        <v>212</v>
      </c>
      <c r="AR199" s="38" t="s">
        <v>147</v>
      </c>
      <c r="AV199" s="38">
        <v>3052</v>
      </c>
      <c r="AY199" s="64" t="s">
        <v>337</v>
      </c>
      <c r="DO199" s="5">
        <v>589</v>
      </c>
      <c r="DP199" s="38">
        <v>342</v>
      </c>
      <c r="EJ199" s="12"/>
      <c r="EL199" s="15"/>
      <c r="FR199" s="38" t="s">
        <v>804</v>
      </c>
      <c r="FT199" s="38">
        <v>14</v>
      </c>
    </row>
    <row r="200" spans="1:176" s="38" customFormat="1" x14ac:dyDescent="0.25">
      <c r="A200" s="38">
        <v>14</v>
      </c>
      <c r="B200" s="38" t="s">
        <v>333</v>
      </c>
      <c r="C200" s="38" t="s">
        <v>334</v>
      </c>
      <c r="D200" s="38">
        <v>2011</v>
      </c>
      <c r="E200" s="38">
        <v>2009</v>
      </c>
      <c r="F200" s="38" t="s">
        <v>336</v>
      </c>
      <c r="G200" s="38" t="s">
        <v>335</v>
      </c>
      <c r="H200" s="38">
        <v>46.88</v>
      </c>
      <c r="I200" s="38">
        <v>-102.79</v>
      </c>
      <c r="J200" s="38">
        <v>735.8</v>
      </c>
      <c r="P200" s="57">
        <v>2</v>
      </c>
      <c r="Q200" s="57"/>
      <c r="R200" s="57"/>
      <c r="S200" s="57" t="s">
        <v>1553</v>
      </c>
      <c r="T200" s="57" t="s">
        <v>1553</v>
      </c>
      <c r="U200" s="57" t="s">
        <v>1553</v>
      </c>
      <c r="V200" s="57" t="s">
        <v>1553</v>
      </c>
      <c r="Z200" s="38" t="s">
        <v>167</v>
      </c>
      <c r="AE200" s="38" t="s">
        <v>1754</v>
      </c>
      <c r="AF200" s="152" t="s">
        <v>1762</v>
      </c>
      <c r="AG200" s="38" t="s">
        <v>267</v>
      </c>
      <c r="AH200" s="155" t="s">
        <v>267</v>
      </c>
      <c r="AI200" s="38" t="s">
        <v>1799</v>
      </c>
      <c r="AJ200" s="38" t="s">
        <v>1799</v>
      </c>
      <c r="AK200" s="38" t="s">
        <v>212</v>
      </c>
      <c r="AL200" s="38" t="s">
        <v>256</v>
      </c>
      <c r="AM200" s="38" t="s">
        <v>256</v>
      </c>
      <c r="AN200" s="38" t="s">
        <v>212</v>
      </c>
      <c r="AR200" s="38" t="s">
        <v>147</v>
      </c>
      <c r="AV200" s="38">
        <v>3052</v>
      </c>
      <c r="AY200" s="64" t="s">
        <v>338</v>
      </c>
      <c r="DO200" s="5">
        <v>944</v>
      </c>
      <c r="DP200" s="38">
        <v>342</v>
      </c>
      <c r="EJ200" s="12"/>
      <c r="EL200" s="15"/>
      <c r="FR200" s="38" t="s">
        <v>804</v>
      </c>
      <c r="FT200" s="38">
        <v>14</v>
      </c>
    </row>
    <row r="201" spans="1:176" s="38" customFormat="1" x14ac:dyDescent="0.25">
      <c r="A201" s="38">
        <v>14</v>
      </c>
      <c r="B201" s="38" t="s">
        <v>333</v>
      </c>
      <c r="C201" s="38" t="s">
        <v>334</v>
      </c>
      <c r="D201" s="38">
        <v>2011</v>
      </c>
      <c r="E201" s="38">
        <v>2009</v>
      </c>
      <c r="F201" s="38" t="s">
        <v>336</v>
      </c>
      <c r="G201" s="38" t="s">
        <v>335</v>
      </c>
      <c r="H201" s="38">
        <v>46.88</v>
      </c>
      <c r="I201" s="38">
        <v>-102.79</v>
      </c>
      <c r="J201" s="38">
        <v>735.8</v>
      </c>
      <c r="P201" s="57">
        <v>2</v>
      </c>
      <c r="Q201" s="57"/>
      <c r="R201" s="57"/>
      <c r="S201" s="57" t="s">
        <v>1553</v>
      </c>
      <c r="T201" s="57" t="s">
        <v>1553</v>
      </c>
      <c r="U201" s="57" t="s">
        <v>1553</v>
      </c>
      <c r="V201" s="57" t="s">
        <v>1553</v>
      </c>
      <c r="Z201" s="38" t="s">
        <v>167</v>
      </c>
      <c r="AE201" s="38" t="s">
        <v>1754</v>
      </c>
      <c r="AF201" s="152" t="s">
        <v>1762</v>
      </c>
      <c r="AG201" s="38" t="s">
        <v>267</v>
      </c>
      <c r="AH201" s="155" t="s">
        <v>267</v>
      </c>
      <c r="AI201" s="38" t="s">
        <v>1799</v>
      </c>
      <c r="AJ201" s="38" t="s">
        <v>1799</v>
      </c>
      <c r="AK201" s="38" t="s">
        <v>212</v>
      </c>
      <c r="AL201" s="38" t="s">
        <v>256</v>
      </c>
      <c r="AM201" s="38" t="s">
        <v>256</v>
      </c>
      <c r="AN201" s="38" t="s">
        <v>212</v>
      </c>
      <c r="AR201" s="38" t="s">
        <v>147</v>
      </c>
      <c r="AV201" s="38">
        <v>3052</v>
      </c>
      <c r="AY201" s="64" t="s">
        <v>339</v>
      </c>
      <c r="DO201" s="5">
        <v>404</v>
      </c>
      <c r="DP201" s="38">
        <v>342</v>
      </c>
      <c r="EJ201" s="12"/>
      <c r="EL201" s="15"/>
      <c r="FR201" s="38" t="s">
        <v>804</v>
      </c>
      <c r="FT201" s="38">
        <v>14</v>
      </c>
    </row>
    <row r="202" spans="1:176" s="23" customFormat="1" x14ac:dyDescent="0.25">
      <c r="A202" s="23">
        <v>14</v>
      </c>
      <c r="B202" s="23" t="s">
        <v>333</v>
      </c>
      <c r="C202" s="23" t="s">
        <v>334</v>
      </c>
      <c r="D202" s="23">
        <v>2011</v>
      </c>
      <c r="E202" s="23">
        <v>2010</v>
      </c>
      <c r="F202" s="23" t="s">
        <v>336</v>
      </c>
      <c r="G202" s="23" t="s">
        <v>335</v>
      </c>
      <c r="H202" s="23">
        <v>46.88</v>
      </c>
      <c r="I202" s="23">
        <v>-102.79</v>
      </c>
      <c r="J202" s="23">
        <v>735.8</v>
      </c>
      <c r="P202" s="53">
        <v>3</v>
      </c>
      <c r="Q202" s="53"/>
      <c r="R202" s="53"/>
      <c r="S202" s="53" t="s">
        <v>1553</v>
      </c>
      <c r="T202" s="53" t="s">
        <v>1553</v>
      </c>
      <c r="U202" s="53" t="s">
        <v>1553</v>
      </c>
      <c r="V202" s="53" t="s">
        <v>1553</v>
      </c>
      <c r="Z202" s="23" t="s">
        <v>167</v>
      </c>
      <c r="AE202" s="23" t="s">
        <v>281</v>
      </c>
      <c r="AF202" s="152" t="s">
        <v>666</v>
      </c>
      <c r="AG202" s="23" t="s">
        <v>267</v>
      </c>
      <c r="AH202" s="155" t="s">
        <v>267</v>
      </c>
      <c r="AI202" s="23" t="s">
        <v>1799</v>
      </c>
      <c r="AJ202" s="23" t="s">
        <v>1799</v>
      </c>
      <c r="AK202" s="23" t="s">
        <v>212</v>
      </c>
      <c r="AL202" s="23" t="s">
        <v>256</v>
      </c>
      <c r="AM202" s="23" t="s">
        <v>256</v>
      </c>
      <c r="AN202" s="23" t="s">
        <v>212</v>
      </c>
      <c r="AR202" s="23" t="s">
        <v>147</v>
      </c>
      <c r="AV202" s="23">
        <v>1633</v>
      </c>
      <c r="AY202" s="64" t="s">
        <v>337</v>
      </c>
      <c r="DO202" s="23">
        <v>796</v>
      </c>
      <c r="DP202" s="23">
        <v>2436</v>
      </c>
      <c r="EJ202" s="12"/>
      <c r="EL202" s="15"/>
      <c r="FR202" s="23" t="s">
        <v>804</v>
      </c>
      <c r="FT202" s="23">
        <v>14</v>
      </c>
    </row>
    <row r="203" spans="1:176" s="23" customFormat="1" x14ac:dyDescent="0.25">
      <c r="A203" s="23">
        <v>14</v>
      </c>
      <c r="B203" s="23" t="s">
        <v>333</v>
      </c>
      <c r="C203" s="23" t="s">
        <v>334</v>
      </c>
      <c r="D203" s="23">
        <v>2011</v>
      </c>
      <c r="E203" s="23">
        <v>2010</v>
      </c>
      <c r="F203" s="23" t="s">
        <v>336</v>
      </c>
      <c r="G203" s="23" t="s">
        <v>335</v>
      </c>
      <c r="H203" s="23">
        <v>46.88</v>
      </c>
      <c r="I203" s="23">
        <v>-102.79</v>
      </c>
      <c r="J203" s="23">
        <v>735.8</v>
      </c>
      <c r="P203" s="53">
        <v>3</v>
      </c>
      <c r="Q203" s="53"/>
      <c r="R203" s="53"/>
      <c r="S203" s="53" t="s">
        <v>1553</v>
      </c>
      <c r="T203" s="53" t="s">
        <v>1553</v>
      </c>
      <c r="U203" s="53" t="s">
        <v>1553</v>
      </c>
      <c r="V203" s="53" t="s">
        <v>1553</v>
      </c>
      <c r="Z203" s="23" t="s">
        <v>167</v>
      </c>
      <c r="AE203" s="23" t="s">
        <v>281</v>
      </c>
      <c r="AF203" s="152" t="s">
        <v>666</v>
      </c>
      <c r="AG203" s="23" t="s">
        <v>267</v>
      </c>
      <c r="AH203" s="155" t="s">
        <v>267</v>
      </c>
      <c r="AI203" s="23" t="s">
        <v>1799</v>
      </c>
      <c r="AJ203" s="23" t="s">
        <v>1799</v>
      </c>
      <c r="AK203" s="23" t="s">
        <v>212</v>
      </c>
      <c r="AL203" s="23" t="s">
        <v>256</v>
      </c>
      <c r="AM203" s="23" t="s">
        <v>256</v>
      </c>
      <c r="AN203" s="23" t="s">
        <v>212</v>
      </c>
      <c r="AR203" s="23" t="s">
        <v>147</v>
      </c>
      <c r="AV203" s="23">
        <v>1633</v>
      </c>
      <c r="AY203" s="64" t="s">
        <v>338</v>
      </c>
      <c r="DO203" s="23">
        <v>1738</v>
      </c>
      <c r="DP203" s="23">
        <v>2436</v>
      </c>
      <c r="EJ203" s="12"/>
      <c r="EL203" s="15"/>
      <c r="FR203" s="23" t="s">
        <v>804</v>
      </c>
      <c r="FT203" s="23">
        <v>14</v>
      </c>
    </row>
    <row r="204" spans="1:176" s="23" customFormat="1" x14ac:dyDescent="0.25">
      <c r="A204" s="23">
        <v>14</v>
      </c>
      <c r="B204" s="23" t="s">
        <v>333</v>
      </c>
      <c r="C204" s="23" t="s">
        <v>334</v>
      </c>
      <c r="D204" s="23">
        <v>2011</v>
      </c>
      <c r="E204" s="23">
        <v>2010</v>
      </c>
      <c r="F204" s="23" t="s">
        <v>336</v>
      </c>
      <c r="G204" s="23" t="s">
        <v>335</v>
      </c>
      <c r="H204" s="23">
        <v>46.88</v>
      </c>
      <c r="I204" s="23">
        <v>-102.79</v>
      </c>
      <c r="J204" s="23">
        <v>735.8</v>
      </c>
      <c r="P204" s="53">
        <v>3</v>
      </c>
      <c r="Q204" s="53"/>
      <c r="R204" s="53"/>
      <c r="S204" s="53" t="s">
        <v>1553</v>
      </c>
      <c r="T204" s="53" t="s">
        <v>1553</v>
      </c>
      <c r="U204" s="53" t="s">
        <v>1553</v>
      </c>
      <c r="V204" s="53" t="s">
        <v>1553</v>
      </c>
      <c r="Z204" s="23" t="s">
        <v>167</v>
      </c>
      <c r="AE204" s="23" t="s">
        <v>281</v>
      </c>
      <c r="AF204" s="152" t="s">
        <v>666</v>
      </c>
      <c r="AG204" s="23" t="s">
        <v>267</v>
      </c>
      <c r="AH204" s="155" t="s">
        <v>267</v>
      </c>
      <c r="AI204" s="23" t="s">
        <v>1799</v>
      </c>
      <c r="AJ204" s="23" t="s">
        <v>1799</v>
      </c>
      <c r="AK204" s="23" t="s">
        <v>212</v>
      </c>
      <c r="AL204" s="23" t="s">
        <v>256</v>
      </c>
      <c r="AM204" s="23" t="s">
        <v>256</v>
      </c>
      <c r="AN204" s="23" t="s">
        <v>212</v>
      </c>
      <c r="AR204" s="23" t="s">
        <v>147</v>
      </c>
      <c r="AV204" s="23">
        <v>1633</v>
      </c>
      <c r="AY204" s="64" t="s">
        <v>339</v>
      </c>
      <c r="DO204" s="23">
        <v>1677</v>
      </c>
      <c r="DP204" s="23">
        <v>2436</v>
      </c>
      <c r="EJ204" s="12"/>
      <c r="EL204" s="15"/>
      <c r="FR204" s="23" t="s">
        <v>804</v>
      </c>
      <c r="FT204" s="23">
        <v>14</v>
      </c>
    </row>
    <row r="205" spans="1:176" s="38" customFormat="1" x14ac:dyDescent="0.25">
      <c r="A205" s="38">
        <v>14</v>
      </c>
      <c r="B205" s="38" t="s">
        <v>333</v>
      </c>
      <c r="C205" s="38" t="s">
        <v>334</v>
      </c>
      <c r="D205" s="38">
        <v>2011</v>
      </c>
      <c r="E205" s="38">
        <v>2010</v>
      </c>
      <c r="F205" s="38" t="s">
        <v>336</v>
      </c>
      <c r="G205" s="38" t="s">
        <v>335</v>
      </c>
      <c r="H205" s="38">
        <v>46.88</v>
      </c>
      <c r="I205" s="38">
        <v>-102.79</v>
      </c>
      <c r="J205" s="38">
        <v>735.8</v>
      </c>
      <c r="P205" s="57">
        <v>3</v>
      </c>
      <c r="Q205" s="57"/>
      <c r="R205" s="57"/>
      <c r="S205" s="57" t="s">
        <v>1553</v>
      </c>
      <c r="T205" s="57" t="s">
        <v>1553</v>
      </c>
      <c r="U205" s="57" t="s">
        <v>1553</v>
      </c>
      <c r="V205" s="57" t="s">
        <v>1553</v>
      </c>
      <c r="Z205" s="38" t="s">
        <v>167</v>
      </c>
      <c r="AE205" s="38" t="s">
        <v>1743</v>
      </c>
      <c r="AF205" s="152" t="s">
        <v>159</v>
      </c>
      <c r="AG205" s="38" t="s">
        <v>267</v>
      </c>
      <c r="AH205" s="155" t="s">
        <v>267</v>
      </c>
      <c r="AI205" s="38" t="s">
        <v>1799</v>
      </c>
      <c r="AJ205" s="38" t="s">
        <v>1799</v>
      </c>
      <c r="AK205" s="38" t="s">
        <v>212</v>
      </c>
      <c r="AL205" s="38" t="s">
        <v>256</v>
      </c>
      <c r="AM205" s="38" t="s">
        <v>256</v>
      </c>
      <c r="AN205" s="38" t="s">
        <v>212</v>
      </c>
      <c r="AR205" s="38" t="s">
        <v>147</v>
      </c>
      <c r="AV205" s="38">
        <v>4052</v>
      </c>
      <c r="AY205" s="64" t="s">
        <v>337</v>
      </c>
      <c r="DO205" s="23">
        <v>796</v>
      </c>
      <c r="DP205" s="38">
        <v>640</v>
      </c>
      <c r="EJ205" s="12"/>
      <c r="EL205" s="15"/>
      <c r="FR205" s="38" t="s">
        <v>804</v>
      </c>
      <c r="FT205" s="38">
        <v>14</v>
      </c>
    </row>
    <row r="206" spans="1:176" s="38" customFormat="1" x14ac:dyDescent="0.25">
      <c r="A206" s="38">
        <v>14</v>
      </c>
      <c r="B206" s="38" t="s">
        <v>333</v>
      </c>
      <c r="C206" s="38" t="s">
        <v>334</v>
      </c>
      <c r="D206" s="38">
        <v>2011</v>
      </c>
      <c r="E206" s="38">
        <v>2010</v>
      </c>
      <c r="F206" s="38" t="s">
        <v>336</v>
      </c>
      <c r="G206" s="38" t="s">
        <v>335</v>
      </c>
      <c r="H206" s="38">
        <v>46.88</v>
      </c>
      <c r="I206" s="38">
        <v>-102.79</v>
      </c>
      <c r="J206" s="38">
        <v>735.8</v>
      </c>
      <c r="P206" s="57">
        <v>3</v>
      </c>
      <c r="Q206" s="57"/>
      <c r="R206" s="57"/>
      <c r="S206" s="57" t="s">
        <v>1553</v>
      </c>
      <c r="T206" s="57" t="s">
        <v>1553</v>
      </c>
      <c r="U206" s="57" t="s">
        <v>1553</v>
      </c>
      <c r="V206" s="57" t="s">
        <v>1553</v>
      </c>
      <c r="Z206" s="38" t="s">
        <v>167</v>
      </c>
      <c r="AE206" s="38" t="s">
        <v>1743</v>
      </c>
      <c r="AF206" s="152" t="s">
        <v>159</v>
      </c>
      <c r="AG206" s="38" t="s">
        <v>267</v>
      </c>
      <c r="AH206" s="155" t="s">
        <v>267</v>
      </c>
      <c r="AI206" s="38" t="s">
        <v>1799</v>
      </c>
      <c r="AJ206" s="38" t="s">
        <v>1799</v>
      </c>
      <c r="AK206" s="38" t="s">
        <v>212</v>
      </c>
      <c r="AL206" s="38" t="s">
        <v>256</v>
      </c>
      <c r="AM206" s="38" t="s">
        <v>256</v>
      </c>
      <c r="AN206" s="38" t="s">
        <v>212</v>
      </c>
      <c r="AR206" s="38" t="s">
        <v>147</v>
      </c>
      <c r="AV206" s="38">
        <v>4052</v>
      </c>
      <c r="AY206" s="64" t="s">
        <v>338</v>
      </c>
      <c r="DO206" s="23">
        <v>1738</v>
      </c>
      <c r="DP206" s="38">
        <v>640</v>
      </c>
      <c r="EJ206" s="12"/>
      <c r="EL206" s="15"/>
      <c r="FR206" s="38" t="s">
        <v>804</v>
      </c>
      <c r="FT206" s="38">
        <v>14</v>
      </c>
    </row>
    <row r="207" spans="1:176" s="38" customFormat="1" x14ac:dyDescent="0.25">
      <c r="A207" s="38">
        <v>14</v>
      </c>
      <c r="B207" s="38" t="s">
        <v>333</v>
      </c>
      <c r="C207" s="38" t="s">
        <v>334</v>
      </c>
      <c r="D207" s="38">
        <v>2011</v>
      </c>
      <c r="E207" s="38">
        <v>2010</v>
      </c>
      <c r="F207" s="38" t="s">
        <v>336</v>
      </c>
      <c r="G207" s="38" t="s">
        <v>335</v>
      </c>
      <c r="H207" s="38">
        <v>46.88</v>
      </c>
      <c r="I207" s="38">
        <v>-102.79</v>
      </c>
      <c r="J207" s="38">
        <v>735.8</v>
      </c>
      <c r="P207" s="57">
        <v>3</v>
      </c>
      <c r="Q207" s="57"/>
      <c r="R207" s="57"/>
      <c r="S207" s="57" t="s">
        <v>1553</v>
      </c>
      <c r="T207" s="57" t="s">
        <v>1553</v>
      </c>
      <c r="U207" s="57" t="s">
        <v>1553</v>
      </c>
      <c r="V207" s="57" t="s">
        <v>1553</v>
      </c>
      <c r="Z207" s="38" t="s">
        <v>167</v>
      </c>
      <c r="AE207" s="38" t="s">
        <v>1743</v>
      </c>
      <c r="AF207" s="152" t="s">
        <v>159</v>
      </c>
      <c r="AG207" s="38" t="s">
        <v>267</v>
      </c>
      <c r="AH207" s="155" t="s">
        <v>267</v>
      </c>
      <c r="AI207" s="38" t="s">
        <v>1799</v>
      </c>
      <c r="AJ207" s="38" t="s">
        <v>1799</v>
      </c>
      <c r="AK207" s="38" t="s">
        <v>212</v>
      </c>
      <c r="AL207" s="38" t="s">
        <v>256</v>
      </c>
      <c r="AM207" s="38" t="s">
        <v>256</v>
      </c>
      <c r="AN207" s="38" t="s">
        <v>212</v>
      </c>
      <c r="AR207" s="38" t="s">
        <v>147</v>
      </c>
      <c r="AV207" s="38">
        <v>4052</v>
      </c>
      <c r="AY207" s="64" t="s">
        <v>339</v>
      </c>
      <c r="DO207" s="23">
        <v>1677</v>
      </c>
      <c r="DP207" s="38">
        <v>640</v>
      </c>
      <c r="EJ207" s="12"/>
      <c r="EL207" s="15"/>
      <c r="FR207" s="38" t="s">
        <v>804</v>
      </c>
      <c r="FT207" s="38">
        <v>14</v>
      </c>
    </row>
    <row r="208" spans="1:176" s="23" customFormat="1" x14ac:dyDescent="0.25">
      <c r="A208" s="23">
        <v>14</v>
      </c>
      <c r="B208" s="23" t="s">
        <v>333</v>
      </c>
      <c r="C208" s="23" t="s">
        <v>334</v>
      </c>
      <c r="D208" s="23">
        <v>2011</v>
      </c>
      <c r="E208" s="23">
        <v>2010</v>
      </c>
      <c r="F208" s="23" t="s">
        <v>336</v>
      </c>
      <c r="G208" s="23" t="s">
        <v>335</v>
      </c>
      <c r="H208" s="23">
        <v>46.88</v>
      </c>
      <c r="I208" s="23">
        <v>-102.79</v>
      </c>
      <c r="J208" s="23">
        <v>735.8</v>
      </c>
      <c r="P208" s="53">
        <v>3</v>
      </c>
      <c r="Q208" s="53"/>
      <c r="R208" s="53"/>
      <c r="S208" s="53" t="s">
        <v>1553</v>
      </c>
      <c r="T208" s="53" t="s">
        <v>1553</v>
      </c>
      <c r="U208" s="53" t="s">
        <v>1553</v>
      </c>
      <c r="V208" s="53" t="s">
        <v>1553</v>
      </c>
      <c r="Z208" s="23" t="s">
        <v>167</v>
      </c>
      <c r="AE208" s="23" t="s">
        <v>1707</v>
      </c>
      <c r="AF208" s="152" t="s">
        <v>1761</v>
      </c>
      <c r="AG208" s="23" t="s">
        <v>267</v>
      </c>
      <c r="AH208" s="155" t="s">
        <v>267</v>
      </c>
      <c r="AI208" s="23" t="s">
        <v>1799</v>
      </c>
      <c r="AJ208" s="23" t="s">
        <v>1799</v>
      </c>
      <c r="AK208" s="23" t="s">
        <v>212</v>
      </c>
      <c r="AL208" s="23" t="s">
        <v>256</v>
      </c>
      <c r="AM208" s="23" t="s">
        <v>256</v>
      </c>
      <c r="AN208" s="23" t="s">
        <v>212</v>
      </c>
      <c r="AR208" s="23" t="s">
        <v>147</v>
      </c>
      <c r="AV208" s="23">
        <v>3821</v>
      </c>
      <c r="AY208" s="64" t="s">
        <v>337</v>
      </c>
      <c r="DO208" s="23">
        <v>796</v>
      </c>
      <c r="DP208" s="23">
        <v>800</v>
      </c>
      <c r="EJ208" s="12"/>
      <c r="EL208" s="15"/>
      <c r="FR208" s="23" t="s">
        <v>804</v>
      </c>
      <c r="FT208" s="23">
        <v>14</v>
      </c>
    </row>
    <row r="209" spans="1:176" s="23" customFormat="1" x14ac:dyDescent="0.25">
      <c r="A209" s="23">
        <v>14</v>
      </c>
      <c r="B209" s="23" t="s">
        <v>333</v>
      </c>
      <c r="C209" s="23" t="s">
        <v>334</v>
      </c>
      <c r="D209" s="23">
        <v>2011</v>
      </c>
      <c r="E209" s="23">
        <v>2010</v>
      </c>
      <c r="F209" s="23" t="s">
        <v>336</v>
      </c>
      <c r="G209" s="23" t="s">
        <v>335</v>
      </c>
      <c r="H209" s="23">
        <v>46.88</v>
      </c>
      <c r="I209" s="23">
        <v>-102.79</v>
      </c>
      <c r="J209" s="23">
        <v>735.8</v>
      </c>
      <c r="P209" s="53">
        <v>3</v>
      </c>
      <c r="Q209" s="53"/>
      <c r="R209" s="53"/>
      <c r="S209" s="53" t="s">
        <v>1553</v>
      </c>
      <c r="T209" s="53" t="s">
        <v>1553</v>
      </c>
      <c r="U209" s="53" t="s">
        <v>1553</v>
      </c>
      <c r="V209" s="53" t="s">
        <v>1553</v>
      </c>
      <c r="Z209" s="23" t="s">
        <v>167</v>
      </c>
      <c r="AE209" s="23" t="s">
        <v>1707</v>
      </c>
      <c r="AF209" s="152" t="s">
        <v>1761</v>
      </c>
      <c r="AG209" s="23" t="s">
        <v>267</v>
      </c>
      <c r="AH209" s="155" t="s">
        <v>267</v>
      </c>
      <c r="AI209" s="23" t="s">
        <v>1799</v>
      </c>
      <c r="AJ209" s="23" t="s">
        <v>1799</v>
      </c>
      <c r="AK209" s="23" t="s">
        <v>212</v>
      </c>
      <c r="AL209" s="23" t="s">
        <v>256</v>
      </c>
      <c r="AM209" s="23" t="s">
        <v>256</v>
      </c>
      <c r="AN209" s="23" t="s">
        <v>212</v>
      </c>
      <c r="AR209" s="23" t="s">
        <v>147</v>
      </c>
      <c r="AV209" s="23">
        <v>3821</v>
      </c>
      <c r="AY209" s="64" t="s">
        <v>338</v>
      </c>
      <c r="DO209" s="23">
        <v>1738</v>
      </c>
      <c r="DP209" s="23">
        <v>800</v>
      </c>
      <c r="EJ209" s="12"/>
      <c r="EL209" s="15"/>
      <c r="FR209" s="23" t="s">
        <v>804</v>
      </c>
      <c r="FT209" s="23">
        <v>14</v>
      </c>
    </row>
    <row r="210" spans="1:176" s="23" customFormat="1" x14ac:dyDescent="0.25">
      <c r="A210" s="23">
        <v>14</v>
      </c>
      <c r="B210" s="23" t="s">
        <v>333</v>
      </c>
      <c r="C210" s="23" t="s">
        <v>334</v>
      </c>
      <c r="D210" s="23">
        <v>2011</v>
      </c>
      <c r="E210" s="23">
        <v>2010</v>
      </c>
      <c r="F210" s="23" t="s">
        <v>336</v>
      </c>
      <c r="G210" s="23" t="s">
        <v>335</v>
      </c>
      <c r="H210" s="23">
        <v>46.88</v>
      </c>
      <c r="I210" s="23">
        <v>-102.79</v>
      </c>
      <c r="J210" s="23">
        <v>735.8</v>
      </c>
      <c r="P210" s="53">
        <v>3</v>
      </c>
      <c r="Q210" s="53"/>
      <c r="R210" s="53"/>
      <c r="S210" s="53" t="s">
        <v>1553</v>
      </c>
      <c r="T210" s="53" t="s">
        <v>1553</v>
      </c>
      <c r="U210" s="53" t="s">
        <v>1553</v>
      </c>
      <c r="V210" s="53" t="s">
        <v>1553</v>
      </c>
      <c r="Z210" s="23" t="s">
        <v>167</v>
      </c>
      <c r="AE210" s="23" t="s">
        <v>1707</v>
      </c>
      <c r="AF210" s="152" t="s">
        <v>1761</v>
      </c>
      <c r="AG210" s="23" t="s">
        <v>267</v>
      </c>
      <c r="AH210" s="155" t="s">
        <v>267</v>
      </c>
      <c r="AI210" s="23" t="s">
        <v>1799</v>
      </c>
      <c r="AJ210" s="23" t="s">
        <v>1799</v>
      </c>
      <c r="AK210" s="23" t="s">
        <v>212</v>
      </c>
      <c r="AL210" s="23" t="s">
        <v>256</v>
      </c>
      <c r="AM210" s="23" t="s">
        <v>256</v>
      </c>
      <c r="AN210" s="23" t="s">
        <v>212</v>
      </c>
      <c r="AR210" s="23" t="s">
        <v>147</v>
      </c>
      <c r="AV210" s="23">
        <v>3821</v>
      </c>
      <c r="AY210" s="64" t="s">
        <v>339</v>
      </c>
      <c r="DO210" s="23">
        <v>1677</v>
      </c>
      <c r="DP210" s="23">
        <v>800</v>
      </c>
      <c r="EJ210" s="12"/>
      <c r="EL210" s="15"/>
      <c r="FR210" s="23" t="s">
        <v>804</v>
      </c>
      <c r="FT210" s="23">
        <v>14</v>
      </c>
    </row>
    <row r="211" spans="1:176" s="38" customFormat="1" x14ac:dyDescent="0.25">
      <c r="A211" s="38">
        <v>14</v>
      </c>
      <c r="B211" s="38" t="s">
        <v>333</v>
      </c>
      <c r="C211" s="38" t="s">
        <v>334</v>
      </c>
      <c r="D211" s="38">
        <v>2011</v>
      </c>
      <c r="E211" s="38">
        <v>2010</v>
      </c>
      <c r="F211" s="38" t="s">
        <v>336</v>
      </c>
      <c r="G211" s="38" t="s">
        <v>335</v>
      </c>
      <c r="H211" s="38">
        <v>46.88</v>
      </c>
      <c r="I211" s="38">
        <v>-102.79</v>
      </c>
      <c r="J211" s="38">
        <v>735.8</v>
      </c>
      <c r="P211" s="57">
        <v>3</v>
      </c>
      <c r="Q211" s="57"/>
      <c r="R211" s="57"/>
      <c r="S211" s="57" t="s">
        <v>1553</v>
      </c>
      <c r="T211" s="57" t="s">
        <v>1553</v>
      </c>
      <c r="U211" s="57" t="s">
        <v>1553</v>
      </c>
      <c r="V211" s="57" t="s">
        <v>1553</v>
      </c>
      <c r="Z211" s="38" t="s">
        <v>167</v>
      </c>
      <c r="AE211" s="38" t="s">
        <v>1754</v>
      </c>
      <c r="AF211" s="152" t="s">
        <v>1762</v>
      </c>
      <c r="AG211" s="38" t="s">
        <v>267</v>
      </c>
      <c r="AH211" s="155" t="s">
        <v>267</v>
      </c>
      <c r="AI211" s="38" t="s">
        <v>1799</v>
      </c>
      <c r="AJ211" s="38" t="s">
        <v>1799</v>
      </c>
      <c r="AK211" s="38" t="s">
        <v>212</v>
      </c>
      <c r="AL211" s="38" t="s">
        <v>256</v>
      </c>
      <c r="AM211" s="38" t="s">
        <v>256</v>
      </c>
      <c r="AN211" s="38" t="s">
        <v>212</v>
      </c>
      <c r="AR211" s="38" t="s">
        <v>147</v>
      </c>
      <c r="AV211" s="38">
        <v>4039</v>
      </c>
      <c r="AY211" s="64" t="s">
        <v>337</v>
      </c>
      <c r="DO211" s="23">
        <v>796</v>
      </c>
      <c r="DP211" s="38">
        <v>717</v>
      </c>
      <c r="EJ211" s="12"/>
      <c r="EL211" s="15"/>
      <c r="FR211" s="38" t="s">
        <v>804</v>
      </c>
      <c r="FT211" s="38">
        <v>14</v>
      </c>
    </row>
    <row r="212" spans="1:176" s="38" customFormat="1" x14ac:dyDescent="0.25">
      <c r="A212" s="38">
        <v>14</v>
      </c>
      <c r="B212" s="38" t="s">
        <v>333</v>
      </c>
      <c r="C212" s="38" t="s">
        <v>334</v>
      </c>
      <c r="D212" s="38">
        <v>2011</v>
      </c>
      <c r="E212" s="38">
        <v>2010</v>
      </c>
      <c r="F212" s="38" t="s">
        <v>336</v>
      </c>
      <c r="G212" s="38" t="s">
        <v>335</v>
      </c>
      <c r="H212" s="38">
        <v>46.88</v>
      </c>
      <c r="I212" s="38">
        <v>-102.79</v>
      </c>
      <c r="J212" s="38">
        <v>735.8</v>
      </c>
      <c r="P212" s="57">
        <v>3</v>
      </c>
      <c r="Q212" s="57"/>
      <c r="R212" s="57"/>
      <c r="S212" s="57" t="s">
        <v>1553</v>
      </c>
      <c r="T212" s="57" t="s">
        <v>1553</v>
      </c>
      <c r="U212" s="57" t="s">
        <v>1553</v>
      </c>
      <c r="V212" s="57" t="s">
        <v>1553</v>
      </c>
      <c r="Z212" s="38" t="s">
        <v>167</v>
      </c>
      <c r="AE212" s="38" t="s">
        <v>1754</v>
      </c>
      <c r="AF212" s="152" t="s">
        <v>1762</v>
      </c>
      <c r="AG212" s="38" t="s">
        <v>267</v>
      </c>
      <c r="AH212" s="155" t="s">
        <v>267</v>
      </c>
      <c r="AI212" s="38" t="s">
        <v>1799</v>
      </c>
      <c r="AJ212" s="38" t="s">
        <v>1799</v>
      </c>
      <c r="AK212" s="38" t="s">
        <v>212</v>
      </c>
      <c r="AL212" s="38" t="s">
        <v>256</v>
      </c>
      <c r="AM212" s="38" t="s">
        <v>256</v>
      </c>
      <c r="AN212" s="38" t="s">
        <v>212</v>
      </c>
      <c r="AR212" s="38" t="s">
        <v>147</v>
      </c>
      <c r="AV212" s="38">
        <v>4039</v>
      </c>
      <c r="AY212" s="64" t="s">
        <v>338</v>
      </c>
      <c r="DO212" s="23">
        <v>1738</v>
      </c>
      <c r="DP212" s="38">
        <v>717</v>
      </c>
      <c r="EJ212" s="12"/>
      <c r="EL212" s="15"/>
      <c r="FR212" s="38" t="s">
        <v>804</v>
      </c>
      <c r="FT212" s="38">
        <v>14</v>
      </c>
    </row>
    <row r="213" spans="1:176" s="38" customFormat="1" x14ac:dyDescent="0.25">
      <c r="A213" s="38">
        <v>14</v>
      </c>
      <c r="B213" s="38" t="s">
        <v>333</v>
      </c>
      <c r="C213" s="38" t="s">
        <v>334</v>
      </c>
      <c r="D213" s="38">
        <v>2011</v>
      </c>
      <c r="E213" s="38">
        <v>2010</v>
      </c>
      <c r="F213" s="38" t="s">
        <v>336</v>
      </c>
      <c r="G213" s="38" t="s">
        <v>335</v>
      </c>
      <c r="H213" s="38">
        <v>46.88</v>
      </c>
      <c r="I213" s="38">
        <v>-102.79</v>
      </c>
      <c r="J213" s="38">
        <v>735.8</v>
      </c>
      <c r="P213" s="57">
        <v>3</v>
      </c>
      <c r="Q213" s="57"/>
      <c r="R213" s="57"/>
      <c r="S213" s="57" t="s">
        <v>1553</v>
      </c>
      <c r="T213" s="57" t="s">
        <v>1553</v>
      </c>
      <c r="U213" s="57" t="s">
        <v>1553</v>
      </c>
      <c r="V213" s="57" t="s">
        <v>1553</v>
      </c>
      <c r="Z213" s="38" t="s">
        <v>167</v>
      </c>
      <c r="AE213" s="38" t="s">
        <v>1754</v>
      </c>
      <c r="AF213" s="152" t="s">
        <v>1762</v>
      </c>
      <c r="AG213" s="38" t="s">
        <v>267</v>
      </c>
      <c r="AH213" s="155" t="s">
        <v>267</v>
      </c>
      <c r="AI213" s="38" t="s">
        <v>1799</v>
      </c>
      <c r="AJ213" s="38" t="s">
        <v>1799</v>
      </c>
      <c r="AK213" s="38" t="s">
        <v>212</v>
      </c>
      <c r="AL213" s="38" t="s">
        <v>256</v>
      </c>
      <c r="AM213" s="38" t="s">
        <v>256</v>
      </c>
      <c r="AN213" s="38" t="s">
        <v>212</v>
      </c>
      <c r="AR213" s="38" t="s">
        <v>147</v>
      </c>
      <c r="AV213" s="38">
        <v>4039</v>
      </c>
      <c r="AY213" s="64" t="s">
        <v>339</v>
      </c>
      <c r="DO213" s="23">
        <v>1677</v>
      </c>
      <c r="DP213" s="38">
        <v>717</v>
      </c>
      <c r="EJ213" s="12"/>
      <c r="EL213" s="15"/>
      <c r="FR213" s="38" t="s">
        <v>804</v>
      </c>
      <c r="FT213" s="38">
        <v>14</v>
      </c>
    </row>
    <row r="214" spans="1:176" s="23" customFormat="1" x14ac:dyDescent="0.25">
      <c r="A214" s="23">
        <v>14</v>
      </c>
      <c r="B214" s="23" t="s">
        <v>333</v>
      </c>
      <c r="C214" s="23" t="s">
        <v>334</v>
      </c>
      <c r="D214" s="23">
        <v>2011</v>
      </c>
      <c r="E214" s="23">
        <v>2010</v>
      </c>
      <c r="F214" s="23" t="s">
        <v>336</v>
      </c>
      <c r="G214" s="23" t="s">
        <v>335</v>
      </c>
      <c r="H214" s="23">
        <v>46.88</v>
      </c>
      <c r="I214" s="23">
        <v>-102.79</v>
      </c>
      <c r="J214" s="23">
        <v>735.8</v>
      </c>
      <c r="P214" s="53">
        <v>3</v>
      </c>
      <c r="Q214" s="53"/>
      <c r="R214" s="53"/>
      <c r="S214" s="53" t="s">
        <v>1553</v>
      </c>
      <c r="T214" s="53" t="s">
        <v>1553</v>
      </c>
      <c r="U214" s="53" t="s">
        <v>1553</v>
      </c>
      <c r="V214" s="53" t="s">
        <v>1553</v>
      </c>
      <c r="Z214" s="23" t="s">
        <v>167</v>
      </c>
      <c r="AE214" s="23" t="s">
        <v>1754</v>
      </c>
      <c r="AF214" s="152" t="s">
        <v>1762</v>
      </c>
      <c r="AG214" s="23" t="s">
        <v>267</v>
      </c>
      <c r="AH214" s="155" t="s">
        <v>267</v>
      </c>
      <c r="AI214" s="23" t="s">
        <v>1799</v>
      </c>
      <c r="AJ214" s="23" t="s">
        <v>1799</v>
      </c>
      <c r="AK214" s="23" t="s">
        <v>212</v>
      </c>
      <c r="AL214" s="23" t="s">
        <v>256</v>
      </c>
      <c r="AM214" s="23" t="s">
        <v>256</v>
      </c>
      <c r="AN214" s="23" t="s">
        <v>212</v>
      </c>
      <c r="AR214" s="23" t="s">
        <v>147</v>
      </c>
      <c r="AV214" s="23">
        <v>3554</v>
      </c>
      <c r="AY214" s="64" t="s">
        <v>337</v>
      </c>
      <c r="DO214" s="23">
        <v>796</v>
      </c>
      <c r="DP214" s="23">
        <v>991</v>
      </c>
      <c r="EJ214" s="12"/>
      <c r="EL214" s="15"/>
      <c r="FR214" s="23" t="s">
        <v>804</v>
      </c>
      <c r="FT214" s="23">
        <v>14</v>
      </c>
    </row>
    <row r="215" spans="1:176" s="23" customFormat="1" x14ac:dyDescent="0.25">
      <c r="A215" s="23">
        <v>14</v>
      </c>
      <c r="B215" s="23" t="s">
        <v>333</v>
      </c>
      <c r="C215" s="23" t="s">
        <v>334</v>
      </c>
      <c r="D215" s="23">
        <v>2011</v>
      </c>
      <c r="E215" s="23">
        <v>2010</v>
      </c>
      <c r="F215" s="23" t="s">
        <v>336</v>
      </c>
      <c r="G215" s="23" t="s">
        <v>335</v>
      </c>
      <c r="H215" s="23">
        <v>46.88</v>
      </c>
      <c r="I215" s="23">
        <v>-102.79</v>
      </c>
      <c r="J215" s="23">
        <v>735.8</v>
      </c>
      <c r="P215" s="53">
        <v>3</v>
      </c>
      <c r="Q215" s="53"/>
      <c r="R215" s="53"/>
      <c r="S215" s="53" t="s">
        <v>1553</v>
      </c>
      <c r="T215" s="53" t="s">
        <v>1553</v>
      </c>
      <c r="U215" s="53" t="s">
        <v>1553</v>
      </c>
      <c r="V215" s="53" t="s">
        <v>1553</v>
      </c>
      <c r="Z215" s="23" t="s">
        <v>167</v>
      </c>
      <c r="AE215" s="23" t="s">
        <v>1754</v>
      </c>
      <c r="AF215" s="152" t="s">
        <v>1762</v>
      </c>
      <c r="AG215" s="23" t="s">
        <v>267</v>
      </c>
      <c r="AH215" s="155" t="s">
        <v>267</v>
      </c>
      <c r="AI215" s="23" t="s">
        <v>1799</v>
      </c>
      <c r="AJ215" s="23" t="s">
        <v>1799</v>
      </c>
      <c r="AK215" s="23" t="s">
        <v>212</v>
      </c>
      <c r="AL215" s="23" t="s">
        <v>256</v>
      </c>
      <c r="AM215" s="23" t="s">
        <v>256</v>
      </c>
      <c r="AN215" s="23" t="s">
        <v>212</v>
      </c>
      <c r="AR215" s="23" t="s">
        <v>147</v>
      </c>
      <c r="AV215" s="23">
        <v>3554</v>
      </c>
      <c r="AY215" s="64" t="s">
        <v>338</v>
      </c>
      <c r="DO215" s="23">
        <v>1738</v>
      </c>
      <c r="DP215" s="23">
        <v>991</v>
      </c>
      <c r="EJ215" s="12"/>
      <c r="EL215" s="15"/>
      <c r="FR215" s="23" t="s">
        <v>804</v>
      </c>
      <c r="FT215" s="23">
        <v>14</v>
      </c>
    </row>
    <row r="216" spans="1:176" s="23" customFormat="1" x14ac:dyDescent="0.25">
      <c r="A216" s="23">
        <v>14</v>
      </c>
      <c r="B216" s="23" t="s">
        <v>333</v>
      </c>
      <c r="C216" s="23" t="s">
        <v>334</v>
      </c>
      <c r="D216" s="23">
        <v>2011</v>
      </c>
      <c r="E216" s="23">
        <v>2010</v>
      </c>
      <c r="F216" s="23" t="s">
        <v>336</v>
      </c>
      <c r="G216" s="23" t="s">
        <v>335</v>
      </c>
      <c r="H216" s="23">
        <v>46.88</v>
      </c>
      <c r="I216" s="23">
        <v>-102.79</v>
      </c>
      <c r="J216" s="23">
        <v>735.8</v>
      </c>
      <c r="P216" s="53">
        <v>3</v>
      </c>
      <c r="Q216" s="53"/>
      <c r="R216" s="53"/>
      <c r="S216" s="53" t="s">
        <v>1553</v>
      </c>
      <c r="T216" s="53" t="s">
        <v>1553</v>
      </c>
      <c r="U216" s="53" t="s">
        <v>1553</v>
      </c>
      <c r="V216" s="53" t="s">
        <v>1553</v>
      </c>
      <c r="Z216" s="23" t="s">
        <v>167</v>
      </c>
      <c r="AE216" s="23" t="s">
        <v>1754</v>
      </c>
      <c r="AF216" s="152" t="s">
        <v>1762</v>
      </c>
      <c r="AG216" s="23" t="s">
        <v>267</v>
      </c>
      <c r="AH216" s="155" t="s">
        <v>267</v>
      </c>
      <c r="AI216" s="23" t="s">
        <v>1799</v>
      </c>
      <c r="AJ216" s="23" t="s">
        <v>1799</v>
      </c>
      <c r="AK216" s="23" t="s">
        <v>212</v>
      </c>
      <c r="AL216" s="23" t="s">
        <v>256</v>
      </c>
      <c r="AM216" s="23" t="s">
        <v>256</v>
      </c>
      <c r="AN216" s="23" t="s">
        <v>212</v>
      </c>
      <c r="AR216" s="23" t="s">
        <v>147</v>
      </c>
      <c r="AV216" s="23">
        <v>3554</v>
      </c>
      <c r="AY216" s="64" t="s">
        <v>339</v>
      </c>
      <c r="DO216" s="23">
        <v>1677</v>
      </c>
      <c r="DP216" s="23">
        <v>991</v>
      </c>
      <c r="EJ216" s="12"/>
      <c r="EL216" s="15"/>
      <c r="FR216" s="23" t="s">
        <v>804</v>
      </c>
      <c r="FT216" s="23">
        <v>14</v>
      </c>
    </row>
    <row r="217" spans="1:176" s="26" customFormat="1" x14ac:dyDescent="0.25">
      <c r="A217" s="26">
        <v>15</v>
      </c>
      <c r="B217" s="26" t="s">
        <v>340</v>
      </c>
      <c r="C217" s="26" t="s">
        <v>341</v>
      </c>
      <c r="D217" s="26">
        <v>2005</v>
      </c>
      <c r="E217" s="26">
        <v>2001</v>
      </c>
      <c r="F217" s="26" t="s">
        <v>342</v>
      </c>
      <c r="G217" s="26" t="s">
        <v>343</v>
      </c>
      <c r="H217" s="26">
        <f>40+44/60</f>
        <v>40.733333333333334</v>
      </c>
      <c r="I217" s="26">
        <f>-77-57/60</f>
        <v>-77.95</v>
      </c>
      <c r="J217" s="26">
        <v>375.2</v>
      </c>
      <c r="P217" s="52">
        <v>1</v>
      </c>
      <c r="Q217" s="52"/>
      <c r="R217" s="52"/>
      <c r="S217" s="52" t="s">
        <v>1564</v>
      </c>
      <c r="T217" s="52" t="s">
        <v>1564</v>
      </c>
      <c r="U217" s="52" t="s">
        <v>1564</v>
      </c>
      <c r="V217" s="52" t="s">
        <v>1907</v>
      </c>
      <c r="Z217" s="26" t="s">
        <v>531</v>
      </c>
      <c r="AD217" s="26" t="s">
        <v>1480</v>
      </c>
      <c r="AE217" s="26" t="s">
        <v>159</v>
      </c>
      <c r="AF217" s="152" t="s">
        <v>159</v>
      </c>
      <c r="AG217" s="26" t="s">
        <v>160</v>
      </c>
      <c r="AH217" s="154" t="s">
        <v>160</v>
      </c>
      <c r="AL217" s="26" t="s">
        <v>256</v>
      </c>
      <c r="AM217" s="26" t="s">
        <v>256</v>
      </c>
      <c r="AN217" s="26" t="s">
        <v>212</v>
      </c>
      <c r="AO217" s="26" t="s">
        <v>344</v>
      </c>
      <c r="AP217" s="26" t="s">
        <v>344</v>
      </c>
      <c r="AQ217" s="26" t="s">
        <v>212</v>
      </c>
      <c r="AS217" s="26">
        <v>4</v>
      </c>
      <c r="AT217" s="26">
        <v>4</v>
      </c>
      <c r="AU217" s="26" t="s">
        <v>209</v>
      </c>
      <c r="AW217" s="26">
        <f>1143</f>
        <v>1143</v>
      </c>
      <c r="AY217" s="63"/>
      <c r="AZ217" s="26" t="s">
        <v>345</v>
      </c>
      <c r="BD217" s="26">
        <f>11.51*1000</f>
        <v>11510</v>
      </c>
      <c r="BE217" s="26">
        <f>12.2*1000</f>
        <v>12200</v>
      </c>
      <c r="BG217" s="26">
        <v>1.48</v>
      </c>
      <c r="BH217" s="26">
        <v>1.48</v>
      </c>
      <c r="DO217" s="26">
        <f>9.9*10</f>
        <v>99</v>
      </c>
      <c r="DP217" s="26">
        <f>1.3*10</f>
        <v>13</v>
      </c>
      <c r="DQ217" s="26" t="s">
        <v>1874</v>
      </c>
      <c r="EJ217" s="12"/>
      <c r="EL217" s="15"/>
      <c r="FT217" s="26">
        <v>15</v>
      </c>
    </row>
    <row r="218" spans="1:176" s="26" customFormat="1" x14ac:dyDescent="0.25">
      <c r="A218" s="26">
        <v>15</v>
      </c>
      <c r="B218" s="26" t="s">
        <v>340</v>
      </c>
      <c r="C218" s="26" t="s">
        <v>341</v>
      </c>
      <c r="D218" s="26">
        <v>2005</v>
      </c>
      <c r="E218" s="26">
        <v>2001</v>
      </c>
      <c r="F218" s="26" t="s">
        <v>342</v>
      </c>
      <c r="G218" s="26" t="s">
        <v>343</v>
      </c>
      <c r="H218" s="26">
        <f>40+44/60</f>
        <v>40.733333333333334</v>
      </c>
      <c r="I218" s="26">
        <f>-77-57/60</f>
        <v>-77.95</v>
      </c>
      <c r="J218" s="26">
        <v>375.2</v>
      </c>
      <c r="P218" s="52">
        <v>1</v>
      </c>
      <c r="Q218" s="52"/>
      <c r="R218" s="52"/>
      <c r="S218" s="52" t="s">
        <v>1564</v>
      </c>
      <c r="T218" s="52" t="s">
        <v>1564</v>
      </c>
      <c r="U218" s="52" t="s">
        <v>1564</v>
      </c>
      <c r="V218" s="52" t="s">
        <v>1907</v>
      </c>
      <c r="Z218" s="26" t="s">
        <v>531</v>
      </c>
      <c r="AD218" s="26" t="s">
        <v>1480</v>
      </c>
      <c r="AE218" s="26" t="s">
        <v>159</v>
      </c>
      <c r="AF218" s="152" t="s">
        <v>159</v>
      </c>
      <c r="AG218" s="26" t="s">
        <v>160</v>
      </c>
      <c r="AH218" s="154" t="s">
        <v>160</v>
      </c>
      <c r="AL218" s="26" t="s">
        <v>256</v>
      </c>
      <c r="AM218" s="26" t="s">
        <v>256</v>
      </c>
      <c r="AN218" s="26" t="s">
        <v>212</v>
      </c>
      <c r="AO218" s="26" t="s">
        <v>344</v>
      </c>
      <c r="AP218" s="26" t="s">
        <v>344</v>
      </c>
      <c r="AQ218" s="26" t="s">
        <v>212</v>
      </c>
      <c r="AS218" s="26">
        <v>4</v>
      </c>
      <c r="AT218" s="26">
        <v>4</v>
      </c>
      <c r="AU218" s="26" t="s">
        <v>209</v>
      </c>
      <c r="AW218" s="26">
        <v>1833</v>
      </c>
      <c r="AY218" s="63"/>
      <c r="AZ218" s="26" t="s">
        <v>346</v>
      </c>
      <c r="BD218" s="26">
        <f>11.4*1000</f>
        <v>11400</v>
      </c>
      <c r="BE218" s="26">
        <f>11.87*1000</f>
        <v>11870</v>
      </c>
      <c r="BG218" s="26">
        <v>1.48</v>
      </c>
      <c r="BH218" s="26">
        <v>1.4</v>
      </c>
      <c r="DO218" s="26">
        <f>0.4*10</f>
        <v>4</v>
      </c>
      <c r="DP218" s="26">
        <f>1.5*10</f>
        <v>15</v>
      </c>
      <c r="DQ218" s="26" t="s">
        <v>1874</v>
      </c>
      <c r="EJ218" s="12"/>
      <c r="EL218" s="15"/>
      <c r="FT218" s="26">
        <v>15</v>
      </c>
    </row>
    <row r="219" spans="1:176" s="39" customFormat="1" x14ac:dyDescent="0.25">
      <c r="A219" s="39">
        <v>15</v>
      </c>
      <c r="B219" s="39" t="s">
        <v>340</v>
      </c>
      <c r="C219" s="39" t="s">
        <v>341</v>
      </c>
      <c r="D219" s="39">
        <v>2005</v>
      </c>
      <c r="E219" s="39">
        <v>2002</v>
      </c>
      <c r="F219" s="39" t="s">
        <v>342</v>
      </c>
      <c r="G219" s="39" t="s">
        <v>343</v>
      </c>
      <c r="H219" s="39">
        <v>40.733333333333334</v>
      </c>
      <c r="I219" s="39">
        <v>-77.95</v>
      </c>
      <c r="J219" s="39">
        <v>375.2</v>
      </c>
      <c r="P219" s="58">
        <v>2</v>
      </c>
      <c r="Q219" s="58"/>
      <c r="R219" s="58"/>
      <c r="S219" s="58" t="s">
        <v>1564</v>
      </c>
      <c r="T219" s="58" t="s">
        <v>1564</v>
      </c>
      <c r="U219" s="58" t="s">
        <v>1564</v>
      </c>
      <c r="V219" s="58" t="s">
        <v>1907</v>
      </c>
      <c r="Z219" s="39" t="s">
        <v>531</v>
      </c>
      <c r="AD219" s="39" t="s">
        <v>1480</v>
      </c>
      <c r="AE219" s="39" t="s">
        <v>159</v>
      </c>
      <c r="AF219" s="152" t="s">
        <v>159</v>
      </c>
      <c r="AG219" s="39" t="s">
        <v>160</v>
      </c>
      <c r="AH219" s="154" t="s">
        <v>160</v>
      </c>
      <c r="AL219" s="39" t="s">
        <v>256</v>
      </c>
      <c r="AM219" s="39" t="s">
        <v>256</v>
      </c>
      <c r="AN219" s="39" t="s">
        <v>212</v>
      </c>
      <c r="AO219" s="39" t="s">
        <v>344</v>
      </c>
      <c r="AP219" s="39" t="s">
        <v>344</v>
      </c>
      <c r="AQ219" s="39" t="s">
        <v>212</v>
      </c>
      <c r="AS219" s="39">
        <v>4</v>
      </c>
      <c r="AT219" s="39">
        <v>4</v>
      </c>
      <c r="AU219" s="39" t="s">
        <v>209</v>
      </c>
      <c r="AY219" s="63"/>
      <c r="AZ219" s="39" t="s">
        <v>345</v>
      </c>
      <c r="BD219" s="39">
        <f>7.55*1000</f>
        <v>7550</v>
      </c>
      <c r="BE219" s="39">
        <f>8.71*1000</f>
        <v>8710</v>
      </c>
      <c r="DO219" s="39">
        <f>2.5*10</f>
        <v>25</v>
      </c>
      <c r="DP219" s="39">
        <f>2.8*10</f>
        <v>28</v>
      </c>
      <c r="DQ219" s="26" t="s">
        <v>1874</v>
      </c>
      <c r="EJ219" s="12"/>
      <c r="EL219" s="15"/>
      <c r="FT219" s="39">
        <v>15</v>
      </c>
    </row>
    <row r="220" spans="1:176" s="39" customFormat="1" x14ac:dyDescent="0.25">
      <c r="A220" s="39">
        <v>15</v>
      </c>
      <c r="B220" s="39" t="s">
        <v>340</v>
      </c>
      <c r="C220" s="39" t="s">
        <v>341</v>
      </c>
      <c r="D220" s="39">
        <v>2005</v>
      </c>
      <c r="E220" s="39">
        <v>2002</v>
      </c>
      <c r="F220" s="39" t="s">
        <v>342</v>
      </c>
      <c r="G220" s="39" t="s">
        <v>343</v>
      </c>
      <c r="H220" s="39">
        <v>40.733333333333334</v>
      </c>
      <c r="I220" s="39">
        <v>-77.95</v>
      </c>
      <c r="J220" s="39">
        <v>375.2</v>
      </c>
      <c r="P220" s="58">
        <v>2</v>
      </c>
      <c r="Q220" s="58"/>
      <c r="R220" s="58"/>
      <c r="S220" s="58" t="s">
        <v>1564</v>
      </c>
      <c r="T220" s="58" t="s">
        <v>1564</v>
      </c>
      <c r="U220" s="58" t="s">
        <v>1564</v>
      </c>
      <c r="V220" s="58" t="s">
        <v>1907</v>
      </c>
      <c r="Z220" s="39" t="s">
        <v>531</v>
      </c>
      <c r="AD220" s="39" t="s">
        <v>1480</v>
      </c>
      <c r="AE220" s="39" t="s">
        <v>159</v>
      </c>
      <c r="AF220" s="152" t="s">
        <v>159</v>
      </c>
      <c r="AG220" s="39" t="s">
        <v>160</v>
      </c>
      <c r="AH220" s="154" t="s">
        <v>160</v>
      </c>
      <c r="AL220" s="39" t="s">
        <v>256</v>
      </c>
      <c r="AM220" s="39" t="s">
        <v>256</v>
      </c>
      <c r="AN220" s="39" t="s">
        <v>212</v>
      </c>
      <c r="AO220" s="39" t="s">
        <v>344</v>
      </c>
      <c r="AP220" s="39" t="s">
        <v>344</v>
      </c>
      <c r="AQ220" s="39" t="s">
        <v>212</v>
      </c>
      <c r="AS220" s="39">
        <v>4</v>
      </c>
      <c r="AT220" s="39">
        <v>4</v>
      </c>
      <c r="AU220" s="39" t="s">
        <v>209</v>
      </c>
      <c r="AW220" s="39">
        <v>3740</v>
      </c>
      <c r="AY220" s="63"/>
      <c r="AZ220" s="39" t="s">
        <v>346</v>
      </c>
      <c r="BD220" s="39">
        <f>8.97*1000</f>
        <v>8970</v>
      </c>
      <c r="BE220" s="39">
        <f>7.66*1000</f>
        <v>7660</v>
      </c>
      <c r="DO220" s="39">
        <f>2.5*10</f>
        <v>25</v>
      </c>
      <c r="DP220" s="39">
        <f>3*10</f>
        <v>30</v>
      </c>
      <c r="DQ220" s="26" t="s">
        <v>1874</v>
      </c>
      <c r="EJ220" s="12"/>
      <c r="EL220" s="15"/>
      <c r="FT220" s="39">
        <v>15</v>
      </c>
    </row>
    <row r="221" spans="1:176" s="26" customFormat="1" x14ac:dyDescent="0.25">
      <c r="A221" s="26">
        <v>15</v>
      </c>
      <c r="B221" s="26" t="s">
        <v>340</v>
      </c>
      <c r="C221" s="26" t="s">
        <v>341</v>
      </c>
      <c r="D221" s="26">
        <v>2005</v>
      </c>
      <c r="E221" s="26">
        <v>2003</v>
      </c>
      <c r="F221" s="26" t="s">
        <v>342</v>
      </c>
      <c r="G221" s="26" t="s">
        <v>343</v>
      </c>
      <c r="H221" s="26">
        <f>40+44/60</f>
        <v>40.733333333333334</v>
      </c>
      <c r="I221" s="26">
        <f>-77-57/60</f>
        <v>-77.95</v>
      </c>
      <c r="J221" s="26">
        <v>375.2</v>
      </c>
      <c r="P221" s="52">
        <v>3</v>
      </c>
      <c r="Q221" s="52"/>
      <c r="R221" s="52"/>
      <c r="S221" s="52" t="s">
        <v>1564</v>
      </c>
      <c r="T221" s="52" t="s">
        <v>1564</v>
      </c>
      <c r="U221" s="52" t="s">
        <v>1564</v>
      </c>
      <c r="V221" s="52" t="s">
        <v>1907</v>
      </c>
      <c r="Z221" s="26" t="s">
        <v>531</v>
      </c>
      <c r="AD221" s="26" t="s">
        <v>1480</v>
      </c>
      <c r="AE221" s="26" t="s">
        <v>159</v>
      </c>
      <c r="AF221" s="152" t="s">
        <v>159</v>
      </c>
      <c r="AG221" s="26" t="s">
        <v>160</v>
      </c>
      <c r="AH221" s="154" t="s">
        <v>160</v>
      </c>
      <c r="AL221" s="26" t="s">
        <v>256</v>
      </c>
      <c r="AM221" s="26" t="s">
        <v>256</v>
      </c>
      <c r="AN221" s="26" t="s">
        <v>212</v>
      </c>
      <c r="AO221" s="26" t="s">
        <v>344</v>
      </c>
      <c r="AP221" s="26" t="s">
        <v>344</v>
      </c>
      <c r="AQ221" s="26" t="s">
        <v>212</v>
      </c>
      <c r="AS221" s="26">
        <v>4</v>
      </c>
      <c r="AT221" s="26">
        <v>4</v>
      </c>
      <c r="AU221" s="26" t="s">
        <v>209</v>
      </c>
      <c r="AW221" s="26">
        <v>1568</v>
      </c>
      <c r="AY221" s="63"/>
      <c r="AZ221" s="26" t="s">
        <v>345</v>
      </c>
      <c r="BD221" s="26">
        <f>9.94*1000</f>
        <v>9940</v>
      </c>
      <c r="BE221" s="26">
        <f>9.97*1000</f>
        <v>9970</v>
      </c>
      <c r="DO221" s="26">
        <f>8.8*10</f>
        <v>88</v>
      </c>
      <c r="DP221" s="26">
        <f>8.9*10</f>
        <v>89</v>
      </c>
      <c r="DQ221" s="26" t="s">
        <v>1874</v>
      </c>
      <c r="EJ221" s="12"/>
      <c r="EL221" s="15"/>
      <c r="FT221" s="26">
        <v>15</v>
      </c>
    </row>
    <row r="222" spans="1:176" s="26" customFormat="1" x14ac:dyDescent="0.25">
      <c r="A222" s="26">
        <v>15</v>
      </c>
      <c r="B222" s="26" t="s">
        <v>340</v>
      </c>
      <c r="C222" s="26" t="s">
        <v>341</v>
      </c>
      <c r="D222" s="26">
        <v>2005</v>
      </c>
      <c r="E222" s="26">
        <v>2003</v>
      </c>
      <c r="F222" s="26" t="s">
        <v>342</v>
      </c>
      <c r="G222" s="26" t="s">
        <v>343</v>
      </c>
      <c r="H222" s="26">
        <f>40+44/60</f>
        <v>40.733333333333334</v>
      </c>
      <c r="I222" s="26">
        <f>-77-57/60</f>
        <v>-77.95</v>
      </c>
      <c r="J222" s="26">
        <v>375.2</v>
      </c>
      <c r="P222" s="52">
        <v>3</v>
      </c>
      <c r="Q222" s="52"/>
      <c r="R222" s="52"/>
      <c r="S222" s="52" t="s">
        <v>1564</v>
      </c>
      <c r="T222" s="52" t="s">
        <v>1564</v>
      </c>
      <c r="U222" s="52" t="s">
        <v>1564</v>
      </c>
      <c r="V222" s="52" t="s">
        <v>1907</v>
      </c>
      <c r="Z222" s="26" t="s">
        <v>531</v>
      </c>
      <c r="AD222" s="26" t="s">
        <v>1480</v>
      </c>
      <c r="AE222" s="26" t="s">
        <v>159</v>
      </c>
      <c r="AF222" s="152" t="s">
        <v>159</v>
      </c>
      <c r="AG222" s="26" t="s">
        <v>160</v>
      </c>
      <c r="AH222" s="154" t="s">
        <v>160</v>
      </c>
      <c r="AL222" s="26" t="s">
        <v>256</v>
      </c>
      <c r="AM222" s="26" t="s">
        <v>256</v>
      </c>
      <c r="AN222" s="26" t="s">
        <v>212</v>
      </c>
      <c r="AO222" s="26" t="s">
        <v>344</v>
      </c>
      <c r="AP222" s="26" t="s">
        <v>344</v>
      </c>
      <c r="AQ222" s="26" t="s">
        <v>212</v>
      </c>
      <c r="AS222" s="26">
        <v>4</v>
      </c>
      <c r="AT222" s="26">
        <v>4</v>
      </c>
      <c r="AU222" s="26" t="s">
        <v>209</v>
      </c>
      <c r="AW222" s="26">
        <v>7075</v>
      </c>
      <c r="AY222" s="63"/>
      <c r="AZ222" s="26" t="s">
        <v>346</v>
      </c>
      <c r="BD222" s="26">
        <f>8.81*1000</f>
        <v>8810</v>
      </c>
      <c r="BE222" s="26">
        <f>9.69*1000</f>
        <v>9690</v>
      </c>
      <c r="DO222" s="26">
        <f>11.8*10</f>
        <v>118</v>
      </c>
      <c r="DP222" s="26">
        <f>7.6*10</f>
        <v>76</v>
      </c>
      <c r="DQ222" s="26" t="s">
        <v>1874</v>
      </c>
      <c r="EJ222" s="12"/>
      <c r="EL222" s="15"/>
      <c r="FT222" s="26">
        <v>15</v>
      </c>
    </row>
    <row r="223" spans="1:176" s="38" customFormat="1" x14ac:dyDescent="0.25">
      <c r="A223" s="38">
        <v>16</v>
      </c>
      <c r="B223" s="38" t="s">
        <v>347</v>
      </c>
      <c r="C223" s="38" t="s">
        <v>348</v>
      </c>
      <c r="D223" s="38">
        <v>1998</v>
      </c>
      <c r="E223" s="38">
        <v>1996</v>
      </c>
      <c r="F223" s="38" t="s">
        <v>349</v>
      </c>
      <c r="G223" s="38" t="s">
        <v>350</v>
      </c>
      <c r="H223" s="38">
        <v>37.200000000000003</v>
      </c>
      <c r="I223" s="38">
        <v>-80.56</v>
      </c>
      <c r="J223" s="38">
        <v>505</v>
      </c>
      <c r="P223" s="57">
        <v>1</v>
      </c>
      <c r="Q223" s="57"/>
      <c r="R223" s="57"/>
      <c r="S223" s="57" t="s">
        <v>1558</v>
      </c>
      <c r="T223" s="57" t="s">
        <v>1558</v>
      </c>
      <c r="U223" s="57" t="s">
        <v>1558</v>
      </c>
      <c r="V223" s="57" t="s">
        <v>1905</v>
      </c>
      <c r="W223" s="38">
        <f>(1.76+1.67)/2</f>
        <v>1.7149999999999999</v>
      </c>
      <c r="Z223" s="38" t="s">
        <v>531</v>
      </c>
      <c r="AD223" s="38" t="s">
        <v>1481</v>
      </c>
      <c r="AE223" s="38" t="s">
        <v>1696</v>
      </c>
      <c r="AF223" s="152" t="s">
        <v>159</v>
      </c>
      <c r="AG223" s="38" t="s">
        <v>267</v>
      </c>
      <c r="AH223" s="155" t="s">
        <v>267</v>
      </c>
      <c r="AL223" s="38" t="s">
        <v>351</v>
      </c>
      <c r="AM223" s="38" t="s">
        <v>351</v>
      </c>
      <c r="AN223" s="38" t="s">
        <v>212</v>
      </c>
      <c r="AO223" s="38" t="s">
        <v>352</v>
      </c>
      <c r="AP223" s="38" t="s">
        <v>352</v>
      </c>
      <c r="AR223" s="38" t="s">
        <v>353</v>
      </c>
      <c r="AS223" s="38">
        <v>4</v>
      </c>
      <c r="AT223" s="38">
        <v>4</v>
      </c>
      <c r="AU223" s="38" t="s">
        <v>169</v>
      </c>
      <c r="AY223" s="64"/>
      <c r="AZ223" s="38" t="s">
        <v>356</v>
      </c>
      <c r="BG223" s="38">
        <f>(1.23+1.37+1.44+1.46)/4</f>
        <v>1.375</v>
      </c>
      <c r="BH223" s="38">
        <f>(1.25+1.33+1.37+1.41)/4</f>
        <v>1.34</v>
      </c>
      <c r="CK223" s="38">
        <f>(24.4+14.9+11.6+10.4)/4</f>
        <v>15.324999999999999</v>
      </c>
      <c r="CL223" s="38">
        <f>(22.9+17.1+13.9+12.2)/4</f>
        <v>16.524999999999999</v>
      </c>
      <c r="CM223" s="38" t="s">
        <v>354</v>
      </c>
      <c r="CT223" s="38">
        <f>(76+22.2+2+1.5)/4</f>
        <v>25.425000000000001</v>
      </c>
      <c r="CU223" s="38">
        <f>(92.9+24.3+8.3+5.4)/4</f>
        <v>32.725000000000001</v>
      </c>
      <c r="DI223" s="38">
        <f>(16+18)/2/100</f>
        <v>0.17</v>
      </c>
      <c r="DJ223" s="38">
        <f>(14.8+18.8)/2/100</f>
        <v>0.16800000000000001</v>
      </c>
      <c r="EJ223" s="12"/>
      <c r="EL223" s="15"/>
      <c r="FR223" s="38" t="s">
        <v>989</v>
      </c>
      <c r="FT223" s="38">
        <v>16</v>
      </c>
    </row>
    <row r="224" spans="1:176" s="38" customFormat="1" x14ac:dyDescent="0.25">
      <c r="A224" s="38">
        <v>16</v>
      </c>
      <c r="B224" s="38" t="s">
        <v>347</v>
      </c>
      <c r="C224" s="38" t="s">
        <v>348</v>
      </c>
      <c r="D224" s="38">
        <v>1998</v>
      </c>
      <c r="E224" s="38">
        <v>1996</v>
      </c>
      <c r="F224" s="38" t="s">
        <v>349</v>
      </c>
      <c r="G224" s="38" t="s">
        <v>350</v>
      </c>
      <c r="H224" s="38">
        <v>37.200000000000003</v>
      </c>
      <c r="I224" s="38">
        <v>-80.56</v>
      </c>
      <c r="J224" s="38">
        <v>505</v>
      </c>
      <c r="P224" s="57">
        <v>1</v>
      </c>
      <c r="Q224" s="57"/>
      <c r="R224" s="57"/>
      <c r="S224" s="57" t="s">
        <v>1558</v>
      </c>
      <c r="T224" s="57" t="s">
        <v>1558</v>
      </c>
      <c r="U224" s="57" t="s">
        <v>1558</v>
      </c>
      <c r="V224" s="57" t="s">
        <v>1905</v>
      </c>
      <c r="W224" s="38">
        <f t="shared" ref="W224:W225" si="33">(1.76+1.67)/2</f>
        <v>1.7149999999999999</v>
      </c>
      <c r="Z224" s="38" t="s">
        <v>531</v>
      </c>
      <c r="AD224" s="38" t="s">
        <v>1481</v>
      </c>
      <c r="AE224" s="38" t="s">
        <v>1708</v>
      </c>
      <c r="AF224" s="152" t="s">
        <v>159</v>
      </c>
      <c r="AG224" s="38" t="s">
        <v>267</v>
      </c>
      <c r="AH224" s="155" t="s">
        <v>267</v>
      </c>
      <c r="AL224" s="38" t="s">
        <v>351</v>
      </c>
      <c r="AM224" s="38" t="s">
        <v>351</v>
      </c>
      <c r="AN224" s="38" t="s">
        <v>212</v>
      </c>
      <c r="AO224" s="38" t="s">
        <v>352</v>
      </c>
      <c r="AP224" s="38" t="s">
        <v>352</v>
      </c>
      <c r="AR224" s="38" t="s">
        <v>353</v>
      </c>
      <c r="AS224" s="38">
        <v>4</v>
      </c>
      <c r="AT224" s="38">
        <v>4</v>
      </c>
      <c r="AU224" s="38" t="s">
        <v>169</v>
      </c>
      <c r="AY224" s="64"/>
      <c r="AZ224" s="38" t="s">
        <v>356</v>
      </c>
      <c r="BG224" s="38">
        <f t="shared" ref="BG224:BG225" si="34">(1.23+1.37+1.44+1.46)/4</f>
        <v>1.375</v>
      </c>
      <c r="BH224" s="38">
        <f>(1.29+1.36+1.4+1.41)/4</f>
        <v>1.3650000000000002</v>
      </c>
      <c r="CK224" s="38">
        <f t="shared" ref="CK224:CK225" si="35">(24.4+14.9+11.6+10.4)/4</f>
        <v>15.324999999999999</v>
      </c>
      <c r="CL224" s="38">
        <f>(19.3+16.2+12.8+12.3)/4</f>
        <v>15.149999999999999</v>
      </c>
      <c r="CM224" s="38" t="s">
        <v>354</v>
      </c>
      <c r="CT224" s="38">
        <f t="shared" ref="CT224:CT225" si="36">(76+22.2+2+1.5)/4</f>
        <v>25.425000000000001</v>
      </c>
      <c r="CU224" s="38">
        <f>(38.5+15.8+4.9+4.1)/4</f>
        <v>15.824999999999999</v>
      </c>
      <c r="DI224" s="38">
        <f t="shared" ref="DI224:DI225" si="37">(16+18)/2/100</f>
        <v>0.17</v>
      </c>
      <c r="DJ224" s="38">
        <f>(12.1+16.6)/2/100</f>
        <v>0.14350000000000002</v>
      </c>
      <c r="EJ224" s="12"/>
      <c r="EL224" s="15"/>
      <c r="FR224" s="38" t="s">
        <v>989</v>
      </c>
      <c r="FT224" s="38">
        <v>16</v>
      </c>
    </row>
    <row r="225" spans="1:176" s="38" customFormat="1" x14ac:dyDescent="0.25">
      <c r="A225" s="38">
        <v>16</v>
      </c>
      <c r="B225" s="38" t="s">
        <v>347</v>
      </c>
      <c r="C225" s="38" t="s">
        <v>348</v>
      </c>
      <c r="D225" s="38">
        <v>1998</v>
      </c>
      <c r="E225" s="38">
        <v>1996</v>
      </c>
      <c r="F225" s="38" t="s">
        <v>349</v>
      </c>
      <c r="G225" s="38" t="s">
        <v>350</v>
      </c>
      <c r="H225" s="38">
        <v>37.200000000000003</v>
      </c>
      <c r="I225" s="38">
        <v>-80.56</v>
      </c>
      <c r="J225" s="38">
        <v>505</v>
      </c>
      <c r="P225" s="57">
        <v>1</v>
      </c>
      <c r="Q225" s="57"/>
      <c r="R225" s="57"/>
      <c r="S225" s="57" t="s">
        <v>1558</v>
      </c>
      <c r="T225" s="57" t="s">
        <v>1558</v>
      </c>
      <c r="U225" s="57" t="s">
        <v>1558</v>
      </c>
      <c r="V225" s="57" t="s">
        <v>1905</v>
      </c>
      <c r="W225" s="38">
        <f t="shared" si="33"/>
        <v>1.7149999999999999</v>
      </c>
      <c r="Z225" s="38" t="s">
        <v>531</v>
      </c>
      <c r="AD225" s="38" t="s">
        <v>1481</v>
      </c>
      <c r="AE225" s="38" t="s">
        <v>1709</v>
      </c>
      <c r="AF225" s="152" t="s">
        <v>159</v>
      </c>
      <c r="AG225" s="38" t="s">
        <v>267</v>
      </c>
      <c r="AH225" s="155" t="s">
        <v>267</v>
      </c>
      <c r="AL225" s="38" t="s">
        <v>351</v>
      </c>
      <c r="AM225" s="38" t="s">
        <v>351</v>
      </c>
      <c r="AN225" s="38" t="s">
        <v>212</v>
      </c>
      <c r="AO225" s="38" t="s">
        <v>352</v>
      </c>
      <c r="AP225" s="38" t="s">
        <v>352</v>
      </c>
      <c r="AR225" s="38" t="s">
        <v>353</v>
      </c>
      <c r="AS225" s="38">
        <v>4</v>
      </c>
      <c r="AT225" s="38">
        <v>4</v>
      </c>
      <c r="AU225" s="38" t="s">
        <v>169</v>
      </c>
      <c r="AY225" s="64"/>
      <c r="AZ225" s="38" t="s">
        <v>356</v>
      </c>
      <c r="BG225" s="38">
        <f t="shared" si="34"/>
        <v>1.375</v>
      </c>
      <c r="BH225" s="38">
        <f>(1.31+1.34+1.36+1.4)/4</f>
        <v>1.3525</v>
      </c>
      <c r="CK225" s="38">
        <f t="shared" si="35"/>
        <v>15.324999999999999</v>
      </c>
      <c r="CL225" s="38">
        <f>(18.8+16.4+15.7+13.9)/4</f>
        <v>16.200000000000003</v>
      </c>
      <c r="CM225" s="38" t="s">
        <v>354</v>
      </c>
      <c r="CT225" s="38">
        <f t="shared" si="36"/>
        <v>25.425000000000001</v>
      </c>
      <c r="CU225" s="38">
        <f>(34.8+15.1+9.1+6.5)/4</f>
        <v>16.375</v>
      </c>
      <c r="DI225" s="38">
        <f t="shared" si="37"/>
        <v>0.17</v>
      </c>
      <c r="DJ225" s="38">
        <f>(13+16.2)/2/100</f>
        <v>0.14599999999999999</v>
      </c>
      <c r="EJ225" s="12"/>
      <c r="EL225" s="15"/>
      <c r="FR225" s="38" t="s">
        <v>989</v>
      </c>
      <c r="FT225" s="38">
        <v>16</v>
      </c>
    </row>
    <row r="226" spans="1:176" s="35" customFormat="1" x14ac:dyDescent="0.25">
      <c r="A226" s="35">
        <v>17</v>
      </c>
      <c r="B226" s="35" t="s">
        <v>357</v>
      </c>
      <c r="C226" s="35" t="s">
        <v>358</v>
      </c>
      <c r="D226" s="35">
        <v>2016</v>
      </c>
      <c r="E226" s="35">
        <v>2011</v>
      </c>
      <c r="F226" s="35" t="s">
        <v>342</v>
      </c>
      <c r="G226" s="35" t="s">
        <v>359</v>
      </c>
      <c r="H226" s="35">
        <f t="shared" ref="H226:H259" si="38">40+43/60</f>
        <v>40.716666666666669</v>
      </c>
      <c r="I226" s="35">
        <f t="shared" ref="I226:I259" si="39">-77-55/60</f>
        <v>-77.916666666666671</v>
      </c>
      <c r="J226" s="35">
        <v>350</v>
      </c>
      <c r="N226" s="35">
        <v>975</v>
      </c>
      <c r="P226" s="54">
        <v>1</v>
      </c>
      <c r="Q226" s="54"/>
      <c r="R226" s="54"/>
      <c r="S226" s="54" t="s">
        <v>1565</v>
      </c>
      <c r="T226" s="54" t="s">
        <v>1565</v>
      </c>
      <c r="U226" s="54" t="s">
        <v>1565</v>
      </c>
      <c r="V226" s="54" t="s">
        <v>1908</v>
      </c>
      <c r="Z226" s="35" t="s">
        <v>531</v>
      </c>
      <c r="AD226" s="35" t="s">
        <v>1482</v>
      </c>
      <c r="AE226" s="35" t="s">
        <v>1710</v>
      </c>
      <c r="AF226" s="152" t="s">
        <v>666</v>
      </c>
      <c r="AG226" s="35" t="s">
        <v>160</v>
      </c>
      <c r="AH226" s="154" t="s">
        <v>1801</v>
      </c>
      <c r="AI226" s="35" t="s">
        <v>360</v>
      </c>
      <c r="AJ226" s="35" t="s">
        <v>360</v>
      </c>
      <c r="AK226" s="35" t="s">
        <v>212</v>
      </c>
      <c r="AO226" s="35" t="s">
        <v>361</v>
      </c>
      <c r="AP226" s="35" t="s">
        <v>361</v>
      </c>
      <c r="AQ226" s="35" t="s">
        <v>212</v>
      </c>
      <c r="AR226" s="35" t="s">
        <v>192</v>
      </c>
      <c r="AS226" s="35">
        <v>4</v>
      </c>
      <c r="AT226" s="35">
        <v>4</v>
      </c>
      <c r="AU226" s="35" t="s">
        <v>169</v>
      </c>
      <c r="AW226" s="35">
        <v>61</v>
      </c>
      <c r="AX226" s="35">
        <v>9.3000000000000007</v>
      </c>
      <c r="AY226" s="63"/>
      <c r="BD226" s="35">
        <v>6975</v>
      </c>
      <c r="BE226" s="35">
        <v>6876</v>
      </c>
      <c r="BM226" s="35">
        <f>13.25*0.614</f>
        <v>8.1355000000000004</v>
      </c>
      <c r="BN226" s="35">
        <v>8.64</v>
      </c>
      <c r="BO226" s="35" t="s">
        <v>392</v>
      </c>
      <c r="BR226" s="35" t="s">
        <v>393</v>
      </c>
      <c r="DC226" s="35">
        <v>48.16</v>
      </c>
      <c r="DD226" s="35">
        <v>42.8294</v>
      </c>
      <c r="DE226" s="35" t="s">
        <v>364</v>
      </c>
      <c r="DO226" s="35">
        <v>2820.6</v>
      </c>
      <c r="DP226" s="35">
        <v>3011.35</v>
      </c>
      <c r="DQ226" s="35">
        <f>(2964.03-2820.6)*SQRT(4)</f>
        <v>286.86000000000058</v>
      </c>
      <c r="EJ226" s="12"/>
      <c r="EL226" s="15"/>
      <c r="FR226" s="35" t="s">
        <v>393</v>
      </c>
      <c r="FT226" s="35">
        <v>17</v>
      </c>
    </row>
    <row r="227" spans="1:176" s="35" customFormat="1" x14ac:dyDescent="0.25">
      <c r="A227" s="35">
        <v>17</v>
      </c>
      <c r="B227" s="35" t="s">
        <v>357</v>
      </c>
      <c r="C227" s="35" t="s">
        <v>358</v>
      </c>
      <c r="D227" s="35">
        <v>2016</v>
      </c>
      <c r="E227" s="35">
        <v>2011</v>
      </c>
      <c r="F227" s="35" t="s">
        <v>342</v>
      </c>
      <c r="G227" s="35" t="s">
        <v>359</v>
      </c>
      <c r="H227" s="35">
        <f t="shared" si="38"/>
        <v>40.716666666666669</v>
      </c>
      <c r="I227" s="35">
        <f t="shared" si="39"/>
        <v>-77.916666666666671</v>
      </c>
      <c r="J227" s="35">
        <v>350</v>
      </c>
      <c r="N227" s="35">
        <v>975</v>
      </c>
      <c r="P227" s="54">
        <v>1</v>
      </c>
      <c r="Q227" s="54"/>
      <c r="R227" s="54"/>
      <c r="S227" s="54" t="s">
        <v>1565</v>
      </c>
      <c r="T227" s="54" t="s">
        <v>1565</v>
      </c>
      <c r="U227" s="54" t="s">
        <v>1565</v>
      </c>
      <c r="V227" s="54" t="s">
        <v>1908</v>
      </c>
      <c r="Z227" s="35" t="s">
        <v>531</v>
      </c>
      <c r="AD227" s="35" t="s">
        <v>1482</v>
      </c>
      <c r="AE227" s="35" t="s">
        <v>1312</v>
      </c>
      <c r="AF227" s="152" t="s">
        <v>666</v>
      </c>
      <c r="AG227" s="35" t="s">
        <v>160</v>
      </c>
      <c r="AH227" s="154" t="s">
        <v>1801</v>
      </c>
      <c r="AI227" s="35" t="s">
        <v>360</v>
      </c>
      <c r="AJ227" s="35" t="s">
        <v>360</v>
      </c>
      <c r="AK227" s="35" t="s">
        <v>212</v>
      </c>
      <c r="AO227" s="35" t="s">
        <v>361</v>
      </c>
      <c r="AP227" s="35" t="s">
        <v>361</v>
      </c>
      <c r="AQ227" s="35" t="s">
        <v>212</v>
      </c>
      <c r="AR227" s="35" t="s">
        <v>192</v>
      </c>
      <c r="AS227" s="35">
        <v>4</v>
      </c>
      <c r="AT227" s="35">
        <v>4</v>
      </c>
      <c r="AU227" s="35" t="s">
        <v>169</v>
      </c>
      <c r="AW227" s="35">
        <v>418</v>
      </c>
      <c r="AX227" s="35">
        <v>9.5</v>
      </c>
      <c r="AY227" s="63"/>
      <c r="BD227" s="35">
        <v>6975</v>
      </c>
      <c r="BE227" s="35">
        <v>6678</v>
      </c>
      <c r="BM227" s="35">
        <f t="shared" ref="BM227:BM241" si="40">13.25*0.614</f>
        <v>8.1355000000000004</v>
      </c>
      <c r="BN227" s="35">
        <v>8.43</v>
      </c>
      <c r="BO227" s="35" t="s">
        <v>392</v>
      </c>
      <c r="BR227" s="35" t="s">
        <v>393</v>
      </c>
      <c r="DC227" s="35">
        <v>48.16</v>
      </c>
      <c r="DD227" s="35">
        <v>35.291600000000003</v>
      </c>
      <c r="DE227" s="35" t="s">
        <v>364</v>
      </c>
      <c r="DO227" s="35">
        <v>2820.6</v>
      </c>
      <c r="DP227" s="35">
        <v>2322.3200000000002</v>
      </c>
      <c r="DQ227" s="35">
        <f t="shared" ref="DQ227:DQ242" si="41">(2964.03-2820.6)*SQRT(4)</f>
        <v>286.86000000000058</v>
      </c>
      <c r="EJ227" s="12"/>
      <c r="EL227" s="15"/>
      <c r="FR227" s="35" t="s">
        <v>393</v>
      </c>
      <c r="FT227" s="35">
        <v>17</v>
      </c>
    </row>
    <row r="228" spans="1:176" s="35" customFormat="1" x14ac:dyDescent="0.25">
      <c r="A228" s="35">
        <v>17</v>
      </c>
      <c r="B228" s="35" t="s">
        <v>357</v>
      </c>
      <c r="C228" s="35" t="s">
        <v>358</v>
      </c>
      <c r="D228" s="35">
        <v>2016</v>
      </c>
      <c r="E228" s="35">
        <v>2011</v>
      </c>
      <c r="F228" s="35" t="s">
        <v>342</v>
      </c>
      <c r="G228" s="35" t="s">
        <v>359</v>
      </c>
      <c r="H228" s="35">
        <f t="shared" si="38"/>
        <v>40.716666666666669</v>
      </c>
      <c r="I228" s="35">
        <f t="shared" si="39"/>
        <v>-77.916666666666671</v>
      </c>
      <c r="J228" s="35">
        <v>350</v>
      </c>
      <c r="N228" s="35">
        <v>975</v>
      </c>
      <c r="P228" s="54">
        <v>1</v>
      </c>
      <c r="Q228" s="54"/>
      <c r="R228" s="54"/>
      <c r="S228" s="54" t="s">
        <v>1565</v>
      </c>
      <c r="T228" s="54" t="s">
        <v>1565</v>
      </c>
      <c r="U228" s="54" t="s">
        <v>1565</v>
      </c>
      <c r="V228" s="54" t="s">
        <v>1908</v>
      </c>
      <c r="Z228" s="35" t="s">
        <v>531</v>
      </c>
      <c r="AD228" s="35" t="s">
        <v>1482</v>
      </c>
      <c r="AE228" s="35" t="s">
        <v>1711</v>
      </c>
      <c r="AF228" s="152" t="s">
        <v>666</v>
      </c>
      <c r="AG228" s="35" t="s">
        <v>160</v>
      </c>
      <c r="AH228" s="154" t="s">
        <v>1801</v>
      </c>
      <c r="AI228" s="35" t="s">
        <v>360</v>
      </c>
      <c r="AJ228" s="35" t="s">
        <v>360</v>
      </c>
      <c r="AK228" s="35" t="s">
        <v>212</v>
      </c>
      <c r="AO228" s="35" t="s">
        <v>361</v>
      </c>
      <c r="AP228" s="35" t="s">
        <v>361</v>
      </c>
      <c r="AQ228" s="35" t="s">
        <v>212</v>
      </c>
      <c r="AR228" s="35" t="s">
        <v>192</v>
      </c>
      <c r="AS228" s="35">
        <v>4</v>
      </c>
      <c r="AT228" s="35">
        <v>4</v>
      </c>
      <c r="AU228" s="35" t="s">
        <v>169</v>
      </c>
      <c r="AW228" s="35">
        <v>4045</v>
      </c>
      <c r="AX228" s="35">
        <v>10.3</v>
      </c>
      <c r="AY228" s="63"/>
      <c r="BD228" s="35">
        <v>6975</v>
      </c>
      <c r="BE228" s="35">
        <v>9653</v>
      </c>
      <c r="BM228" s="35">
        <f t="shared" si="40"/>
        <v>8.1355000000000004</v>
      </c>
      <c r="BN228" s="35">
        <v>18.399999999999999</v>
      </c>
      <c r="BO228" s="35" t="s">
        <v>392</v>
      </c>
      <c r="BR228" s="35" t="s">
        <v>393</v>
      </c>
      <c r="DC228" s="35">
        <v>48.16</v>
      </c>
      <c r="DD228" s="35">
        <v>33.94</v>
      </c>
      <c r="DE228" s="35" t="s">
        <v>364</v>
      </c>
      <c r="DO228" s="35">
        <v>2820.6</v>
      </c>
      <c r="DP228" s="35">
        <v>992.58</v>
      </c>
      <c r="DQ228" s="35">
        <f t="shared" si="41"/>
        <v>286.86000000000058</v>
      </c>
      <c r="EJ228" s="12"/>
      <c r="EL228" s="15"/>
      <c r="FR228" s="35" t="s">
        <v>393</v>
      </c>
      <c r="FT228" s="35">
        <v>17</v>
      </c>
    </row>
    <row r="229" spans="1:176" s="35" customFormat="1" x14ac:dyDescent="0.25">
      <c r="A229" s="35">
        <v>17</v>
      </c>
      <c r="B229" s="35" t="s">
        <v>357</v>
      </c>
      <c r="C229" s="35" t="s">
        <v>358</v>
      </c>
      <c r="D229" s="35">
        <v>2016</v>
      </c>
      <c r="E229" s="35">
        <v>2011</v>
      </c>
      <c r="F229" s="35" t="s">
        <v>342</v>
      </c>
      <c r="G229" s="35" t="s">
        <v>359</v>
      </c>
      <c r="H229" s="35">
        <f t="shared" si="38"/>
        <v>40.716666666666669</v>
      </c>
      <c r="I229" s="35">
        <f t="shared" si="39"/>
        <v>-77.916666666666671</v>
      </c>
      <c r="J229" s="35">
        <v>350</v>
      </c>
      <c r="N229" s="35">
        <v>975</v>
      </c>
      <c r="P229" s="54">
        <v>1</v>
      </c>
      <c r="Q229" s="54"/>
      <c r="R229" s="54"/>
      <c r="S229" s="54" t="s">
        <v>1565</v>
      </c>
      <c r="T229" s="54" t="s">
        <v>1565</v>
      </c>
      <c r="U229" s="54" t="s">
        <v>1565</v>
      </c>
      <c r="V229" s="54" t="s">
        <v>1908</v>
      </c>
      <c r="Z229" s="35" t="s">
        <v>531</v>
      </c>
      <c r="AD229" s="35" t="s">
        <v>1482</v>
      </c>
      <c r="AE229" s="35" t="s">
        <v>281</v>
      </c>
      <c r="AF229" s="152" t="s">
        <v>666</v>
      </c>
      <c r="AG229" s="35" t="s">
        <v>160</v>
      </c>
      <c r="AH229" s="154" t="s">
        <v>1801</v>
      </c>
      <c r="AI229" s="35" t="s">
        <v>360</v>
      </c>
      <c r="AJ229" s="35" t="s">
        <v>360</v>
      </c>
      <c r="AK229" s="35" t="s">
        <v>212</v>
      </c>
      <c r="AO229" s="35" t="s">
        <v>361</v>
      </c>
      <c r="AP229" s="35" t="s">
        <v>361</v>
      </c>
      <c r="AQ229" s="35" t="s">
        <v>212</v>
      </c>
      <c r="AR229" s="35" t="s">
        <v>192</v>
      </c>
      <c r="AS229" s="35">
        <v>4</v>
      </c>
      <c r="AT229" s="35">
        <v>4</v>
      </c>
      <c r="AU229" s="35" t="s">
        <v>169</v>
      </c>
      <c r="AW229" s="35">
        <v>4531</v>
      </c>
      <c r="AX229" s="35">
        <v>9</v>
      </c>
      <c r="AY229" s="63"/>
      <c r="BD229" s="35">
        <v>6975</v>
      </c>
      <c r="BE229" s="35">
        <v>9884</v>
      </c>
      <c r="BM229" s="35">
        <f t="shared" si="40"/>
        <v>8.1355000000000004</v>
      </c>
      <c r="BN229" s="35">
        <v>27.04</v>
      </c>
      <c r="BO229" s="35" t="s">
        <v>392</v>
      </c>
      <c r="BR229" s="35" t="s">
        <v>393</v>
      </c>
      <c r="DC229" s="35">
        <v>48.16</v>
      </c>
      <c r="DD229" s="35">
        <v>34.36</v>
      </c>
      <c r="DE229" s="35" t="s">
        <v>364</v>
      </c>
      <c r="DO229" s="35">
        <v>2820.6</v>
      </c>
      <c r="DP229" s="35">
        <v>236.61</v>
      </c>
      <c r="DQ229" s="35">
        <f t="shared" si="41"/>
        <v>286.86000000000058</v>
      </c>
      <c r="EJ229" s="12"/>
      <c r="EL229" s="15"/>
      <c r="FR229" s="35" t="s">
        <v>393</v>
      </c>
      <c r="FT229" s="35">
        <v>17</v>
      </c>
    </row>
    <row r="230" spans="1:176" s="35" customFormat="1" x14ac:dyDescent="0.25">
      <c r="A230" s="35">
        <v>17</v>
      </c>
      <c r="B230" s="35" t="s">
        <v>357</v>
      </c>
      <c r="C230" s="35" t="s">
        <v>358</v>
      </c>
      <c r="D230" s="35">
        <v>2016</v>
      </c>
      <c r="E230" s="35">
        <v>2011</v>
      </c>
      <c r="F230" s="35" t="s">
        <v>342</v>
      </c>
      <c r="G230" s="35" t="s">
        <v>359</v>
      </c>
      <c r="H230" s="35">
        <f t="shared" si="38"/>
        <v>40.716666666666669</v>
      </c>
      <c r="I230" s="35">
        <f t="shared" si="39"/>
        <v>-77.916666666666671</v>
      </c>
      <c r="J230" s="35">
        <v>350</v>
      </c>
      <c r="N230" s="35">
        <v>975</v>
      </c>
      <c r="P230" s="54">
        <v>1</v>
      </c>
      <c r="Q230" s="54"/>
      <c r="R230" s="54"/>
      <c r="S230" s="54" t="s">
        <v>1565</v>
      </c>
      <c r="T230" s="54" t="s">
        <v>1565</v>
      </c>
      <c r="U230" s="54" t="s">
        <v>1565</v>
      </c>
      <c r="V230" s="54" t="s">
        <v>1908</v>
      </c>
      <c r="Z230" s="35" t="s">
        <v>531</v>
      </c>
      <c r="AD230" s="35" t="s">
        <v>1482</v>
      </c>
      <c r="AE230" s="35" t="s">
        <v>1757</v>
      </c>
      <c r="AF230" s="152" t="s">
        <v>1288</v>
      </c>
      <c r="AG230" s="35" t="s">
        <v>160</v>
      </c>
      <c r="AH230" s="154" t="s">
        <v>1801</v>
      </c>
      <c r="AI230" s="35" t="s">
        <v>360</v>
      </c>
      <c r="AJ230" s="35" t="s">
        <v>360</v>
      </c>
      <c r="AK230" s="35" t="s">
        <v>212</v>
      </c>
      <c r="AO230" s="35" t="s">
        <v>361</v>
      </c>
      <c r="AP230" s="35" t="s">
        <v>361</v>
      </c>
      <c r="AQ230" s="35" t="s">
        <v>212</v>
      </c>
      <c r="AR230" s="35" t="s">
        <v>192</v>
      </c>
      <c r="AS230" s="35">
        <v>4</v>
      </c>
      <c r="AT230" s="35">
        <v>4</v>
      </c>
      <c r="AU230" s="35" t="s">
        <v>169</v>
      </c>
      <c r="AW230" s="35">
        <v>1381</v>
      </c>
      <c r="AX230" s="35">
        <v>15.7</v>
      </c>
      <c r="AY230" s="63"/>
      <c r="BD230" s="35">
        <v>6975</v>
      </c>
      <c r="BE230" s="35">
        <v>8033</v>
      </c>
      <c r="BM230" s="35">
        <f t="shared" si="40"/>
        <v>8.1355000000000004</v>
      </c>
      <c r="BN230" s="35">
        <v>10.45</v>
      </c>
      <c r="BO230" s="35" t="s">
        <v>392</v>
      </c>
      <c r="BR230" s="35" t="s">
        <v>393</v>
      </c>
      <c r="DC230" s="35">
        <v>48.16</v>
      </c>
      <c r="DD230" s="35">
        <v>47.6</v>
      </c>
      <c r="DE230" s="35" t="s">
        <v>364</v>
      </c>
      <c r="DO230" s="35">
        <v>2820.6</v>
      </c>
      <c r="DP230" s="35">
        <v>2225.16</v>
      </c>
      <c r="DQ230" s="35">
        <f t="shared" si="41"/>
        <v>286.86000000000058</v>
      </c>
      <c r="EJ230" s="12"/>
      <c r="EL230" s="15"/>
      <c r="FR230" s="35" t="s">
        <v>393</v>
      </c>
      <c r="FT230" s="35">
        <v>17</v>
      </c>
    </row>
    <row r="231" spans="1:176" s="35" customFormat="1" x14ac:dyDescent="0.25">
      <c r="A231" s="35">
        <v>17</v>
      </c>
      <c r="B231" s="35" t="s">
        <v>357</v>
      </c>
      <c r="C231" s="35" t="s">
        <v>358</v>
      </c>
      <c r="D231" s="35">
        <v>2016</v>
      </c>
      <c r="E231" s="35">
        <v>2011</v>
      </c>
      <c r="F231" s="35" t="s">
        <v>342</v>
      </c>
      <c r="G231" s="35" t="s">
        <v>359</v>
      </c>
      <c r="H231" s="35">
        <f t="shared" si="38"/>
        <v>40.716666666666669</v>
      </c>
      <c r="I231" s="35">
        <f t="shared" si="39"/>
        <v>-77.916666666666671</v>
      </c>
      <c r="J231" s="35">
        <v>350</v>
      </c>
      <c r="N231" s="35">
        <v>975</v>
      </c>
      <c r="P231" s="54">
        <v>1</v>
      </c>
      <c r="Q231" s="54"/>
      <c r="R231" s="54"/>
      <c r="S231" s="54" t="s">
        <v>1565</v>
      </c>
      <c r="T231" s="54" t="s">
        <v>1565</v>
      </c>
      <c r="U231" s="54" t="s">
        <v>1565</v>
      </c>
      <c r="V231" s="54" t="s">
        <v>1908</v>
      </c>
      <c r="Z231" s="35" t="s">
        <v>531</v>
      </c>
      <c r="AD231" s="35" t="s">
        <v>1482</v>
      </c>
      <c r="AE231" s="35" t="s">
        <v>607</v>
      </c>
      <c r="AF231" s="152" t="s">
        <v>1761</v>
      </c>
      <c r="AG231" s="35" t="s">
        <v>160</v>
      </c>
      <c r="AH231" s="154" t="s">
        <v>1801</v>
      </c>
      <c r="AI231" s="35" t="s">
        <v>360</v>
      </c>
      <c r="AJ231" s="35" t="s">
        <v>360</v>
      </c>
      <c r="AK231" s="35" t="s">
        <v>212</v>
      </c>
      <c r="AO231" s="35" t="s">
        <v>361</v>
      </c>
      <c r="AP231" s="35" t="s">
        <v>361</v>
      </c>
      <c r="AQ231" s="35" t="s">
        <v>212</v>
      </c>
      <c r="AR231" s="35" t="s">
        <v>192</v>
      </c>
      <c r="AS231" s="35">
        <v>4</v>
      </c>
      <c r="AT231" s="35">
        <v>4</v>
      </c>
      <c r="AU231" s="35" t="s">
        <v>169</v>
      </c>
      <c r="AW231" s="35">
        <v>1901</v>
      </c>
      <c r="AX231" s="35">
        <v>17.899999999999999</v>
      </c>
      <c r="AY231" s="63"/>
      <c r="BD231" s="35">
        <v>6975</v>
      </c>
      <c r="BE231" s="35">
        <v>8033</v>
      </c>
      <c r="BM231" s="35">
        <f t="shared" si="40"/>
        <v>8.1355000000000004</v>
      </c>
      <c r="BN231" s="35">
        <v>9.73</v>
      </c>
      <c r="BO231" s="35" t="s">
        <v>392</v>
      </c>
      <c r="BR231" s="35" t="s">
        <v>393</v>
      </c>
      <c r="DC231" s="35">
        <v>48.16</v>
      </c>
      <c r="DD231" s="35">
        <v>21.05</v>
      </c>
      <c r="DE231" s="35" t="s">
        <v>364</v>
      </c>
      <c r="DO231" s="35">
        <v>2820.6</v>
      </c>
      <c r="DP231" s="35">
        <v>541.59</v>
      </c>
      <c r="DQ231" s="35">
        <f t="shared" si="41"/>
        <v>286.86000000000058</v>
      </c>
      <c r="EJ231" s="12"/>
      <c r="EL231" s="15"/>
      <c r="FR231" s="35" t="s">
        <v>393</v>
      </c>
      <c r="FT231" s="35">
        <v>17</v>
      </c>
    </row>
    <row r="232" spans="1:176" s="35" customFormat="1" x14ac:dyDescent="0.25">
      <c r="A232" s="35">
        <v>17</v>
      </c>
      <c r="B232" s="35" t="s">
        <v>357</v>
      </c>
      <c r="C232" s="35" t="s">
        <v>358</v>
      </c>
      <c r="D232" s="35">
        <v>2016</v>
      </c>
      <c r="E232" s="35">
        <v>2011</v>
      </c>
      <c r="F232" s="35" t="s">
        <v>342</v>
      </c>
      <c r="G232" s="35" t="s">
        <v>359</v>
      </c>
      <c r="H232" s="35">
        <f t="shared" si="38"/>
        <v>40.716666666666669</v>
      </c>
      <c r="I232" s="35">
        <f t="shared" si="39"/>
        <v>-77.916666666666671</v>
      </c>
      <c r="J232" s="35">
        <v>350</v>
      </c>
      <c r="N232" s="35">
        <v>975</v>
      </c>
      <c r="P232" s="54">
        <v>1</v>
      </c>
      <c r="Q232" s="54"/>
      <c r="R232" s="54"/>
      <c r="S232" s="54" t="s">
        <v>1565</v>
      </c>
      <c r="T232" s="54" t="s">
        <v>1565</v>
      </c>
      <c r="U232" s="54" t="s">
        <v>1565</v>
      </c>
      <c r="V232" s="54" t="s">
        <v>1908</v>
      </c>
      <c r="Z232" s="35" t="s">
        <v>531</v>
      </c>
      <c r="AD232" s="35" t="s">
        <v>1482</v>
      </c>
      <c r="AE232" s="35" t="s">
        <v>610</v>
      </c>
      <c r="AF232" s="152" t="s">
        <v>1288</v>
      </c>
      <c r="AG232" s="35" t="s">
        <v>160</v>
      </c>
      <c r="AH232" s="154" t="s">
        <v>1801</v>
      </c>
      <c r="AI232" s="35" t="s">
        <v>360</v>
      </c>
      <c r="AJ232" s="35" t="s">
        <v>360</v>
      </c>
      <c r="AK232" s="35" t="s">
        <v>212</v>
      </c>
      <c r="AO232" s="35" t="s">
        <v>361</v>
      </c>
      <c r="AP232" s="35" t="s">
        <v>361</v>
      </c>
      <c r="AQ232" s="35" t="s">
        <v>212</v>
      </c>
      <c r="AR232" s="35" t="s">
        <v>192</v>
      </c>
      <c r="AS232" s="35">
        <v>4</v>
      </c>
      <c r="AT232" s="35">
        <v>4</v>
      </c>
      <c r="AU232" s="35" t="s">
        <v>169</v>
      </c>
      <c r="AW232" s="35">
        <v>7165</v>
      </c>
      <c r="AX232" s="35">
        <v>24.2</v>
      </c>
      <c r="AY232" s="63"/>
      <c r="BD232" s="35">
        <v>6975</v>
      </c>
      <c r="BE232" s="35">
        <v>7372</v>
      </c>
      <c r="BM232" s="35">
        <f t="shared" si="40"/>
        <v>8.1355000000000004</v>
      </c>
      <c r="BN232" s="35">
        <v>8.7100000000000009</v>
      </c>
      <c r="BO232" s="35" t="s">
        <v>392</v>
      </c>
      <c r="BR232" s="35" t="s">
        <v>393</v>
      </c>
      <c r="DC232" s="35">
        <v>48.16</v>
      </c>
      <c r="DD232" s="35">
        <v>2.02</v>
      </c>
      <c r="DE232" s="35" t="s">
        <v>364</v>
      </c>
      <c r="DO232" s="35">
        <v>2820.6</v>
      </c>
      <c r="DP232" s="35">
        <v>129.88999999999999</v>
      </c>
      <c r="DQ232" s="35">
        <f t="shared" si="41"/>
        <v>286.86000000000058</v>
      </c>
      <c r="EJ232" s="12"/>
      <c r="EL232" s="15"/>
      <c r="FR232" s="35" t="s">
        <v>393</v>
      </c>
      <c r="FT232" s="35">
        <v>17</v>
      </c>
    </row>
    <row r="233" spans="1:176" s="35" customFormat="1" x14ac:dyDescent="0.25">
      <c r="A233" s="35">
        <v>17</v>
      </c>
      <c r="B233" s="35" t="s">
        <v>357</v>
      </c>
      <c r="C233" s="35" t="s">
        <v>358</v>
      </c>
      <c r="D233" s="35">
        <v>2016</v>
      </c>
      <c r="E233" s="35">
        <v>2011</v>
      </c>
      <c r="F233" s="35" t="s">
        <v>342</v>
      </c>
      <c r="G233" s="35" t="s">
        <v>359</v>
      </c>
      <c r="H233" s="35">
        <f t="shared" si="38"/>
        <v>40.716666666666669</v>
      </c>
      <c r="I233" s="35">
        <f t="shared" si="39"/>
        <v>-77.916666666666671</v>
      </c>
      <c r="J233" s="35">
        <v>350</v>
      </c>
      <c r="N233" s="35">
        <v>975</v>
      </c>
      <c r="P233" s="54">
        <v>1</v>
      </c>
      <c r="Q233" s="54"/>
      <c r="R233" s="54"/>
      <c r="S233" s="54" t="s">
        <v>1565</v>
      </c>
      <c r="T233" s="54" t="s">
        <v>1565</v>
      </c>
      <c r="U233" s="54" t="s">
        <v>1565</v>
      </c>
      <c r="V233" s="54" t="s">
        <v>1908</v>
      </c>
      <c r="Z233" s="35" t="s">
        <v>531</v>
      </c>
      <c r="AD233" s="35" t="s">
        <v>1482</v>
      </c>
      <c r="AE233" s="35" t="s">
        <v>159</v>
      </c>
      <c r="AF233" s="152" t="s">
        <v>159</v>
      </c>
      <c r="AG233" s="35" t="s">
        <v>160</v>
      </c>
      <c r="AH233" s="154" t="s">
        <v>1801</v>
      </c>
      <c r="AI233" s="35" t="s">
        <v>360</v>
      </c>
      <c r="AJ233" s="35" t="s">
        <v>360</v>
      </c>
      <c r="AK233" s="35" t="s">
        <v>212</v>
      </c>
      <c r="AO233" s="35" t="s">
        <v>361</v>
      </c>
      <c r="AP233" s="35" t="s">
        <v>361</v>
      </c>
      <c r="AQ233" s="35" t="s">
        <v>212</v>
      </c>
      <c r="AR233" s="35" t="s">
        <v>192</v>
      </c>
      <c r="AS233" s="35">
        <v>4</v>
      </c>
      <c r="AT233" s="35">
        <v>4</v>
      </c>
      <c r="AU233" s="35" t="s">
        <v>169</v>
      </c>
      <c r="AW233" s="35">
        <v>7343</v>
      </c>
      <c r="AX233" s="35">
        <v>42.9</v>
      </c>
      <c r="AY233" s="63"/>
      <c r="BD233" s="35">
        <v>6975</v>
      </c>
      <c r="BE233" s="35">
        <v>4876</v>
      </c>
      <c r="BM233" s="35">
        <f t="shared" si="40"/>
        <v>8.1355000000000004</v>
      </c>
      <c r="BN233" s="35">
        <v>7.99</v>
      </c>
      <c r="BO233" s="35" t="s">
        <v>392</v>
      </c>
      <c r="BR233" s="35" t="s">
        <v>393</v>
      </c>
      <c r="DC233" s="35">
        <v>48.16</v>
      </c>
      <c r="DD233" s="35">
        <v>0.23</v>
      </c>
      <c r="DE233" s="35" t="s">
        <v>364</v>
      </c>
      <c r="DO233" s="35">
        <v>2820.6</v>
      </c>
      <c r="DP233" s="35">
        <v>33.74</v>
      </c>
      <c r="DQ233" s="35">
        <f t="shared" si="41"/>
        <v>286.86000000000058</v>
      </c>
      <c r="EJ233" s="12"/>
      <c r="EL233" s="15"/>
      <c r="FR233" s="35" t="s">
        <v>393</v>
      </c>
      <c r="FT233" s="35">
        <v>17</v>
      </c>
    </row>
    <row r="234" spans="1:176" s="35" customFormat="1" x14ac:dyDescent="0.25">
      <c r="A234" s="35">
        <v>17</v>
      </c>
      <c r="B234" s="35" t="s">
        <v>357</v>
      </c>
      <c r="C234" s="35" t="s">
        <v>358</v>
      </c>
      <c r="D234" s="35">
        <v>2016</v>
      </c>
      <c r="E234" s="35">
        <v>2011</v>
      </c>
      <c r="F234" s="35" t="s">
        <v>342</v>
      </c>
      <c r="G234" s="35" t="s">
        <v>359</v>
      </c>
      <c r="H234" s="35">
        <f t="shared" si="38"/>
        <v>40.716666666666669</v>
      </c>
      <c r="I234" s="35">
        <f t="shared" si="39"/>
        <v>-77.916666666666671</v>
      </c>
      <c r="J234" s="35">
        <v>350</v>
      </c>
      <c r="N234" s="35">
        <v>975</v>
      </c>
      <c r="P234" s="54">
        <v>1</v>
      </c>
      <c r="Q234" s="54"/>
      <c r="R234" s="54"/>
      <c r="S234" s="54" t="s">
        <v>1565</v>
      </c>
      <c r="T234" s="54" t="s">
        <v>1565</v>
      </c>
      <c r="U234" s="54" t="s">
        <v>1565</v>
      </c>
      <c r="V234" s="54" t="s">
        <v>1908</v>
      </c>
      <c r="Z234" s="35" t="s">
        <v>531</v>
      </c>
      <c r="AD234" s="35" t="s">
        <v>1482</v>
      </c>
      <c r="AE234" s="35" t="s">
        <v>1682</v>
      </c>
      <c r="AF234" s="152" t="s">
        <v>727</v>
      </c>
      <c r="AG234" s="35" t="s">
        <v>160</v>
      </c>
      <c r="AH234" s="154" t="s">
        <v>1801</v>
      </c>
      <c r="AI234" s="35" t="s">
        <v>360</v>
      </c>
      <c r="AJ234" s="35" t="s">
        <v>360</v>
      </c>
      <c r="AK234" s="35" t="s">
        <v>212</v>
      </c>
      <c r="AO234" s="35" t="s">
        <v>361</v>
      </c>
      <c r="AP234" s="35" t="s">
        <v>361</v>
      </c>
      <c r="AQ234" s="35" t="s">
        <v>212</v>
      </c>
      <c r="AR234" s="35" t="s">
        <v>192</v>
      </c>
      <c r="AS234" s="35">
        <v>4</v>
      </c>
      <c r="AT234" s="35">
        <v>4</v>
      </c>
      <c r="AU234" s="35" t="s">
        <v>169</v>
      </c>
      <c r="AW234" s="35">
        <v>1829</v>
      </c>
      <c r="AX234" s="35">
        <v>16.399999999999999</v>
      </c>
      <c r="AY234" s="63"/>
      <c r="BD234" s="35">
        <v>6975</v>
      </c>
      <c r="BE234" s="35">
        <v>7702</v>
      </c>
      <c r="BM234" s="35">
        <f t="shared" si="40"/>
        <v>8.1355000000000004</v>
      </c>
      <c r="BN234" s="35">
        <v>9.82</v>
      </c>
      <c r="BO234" s="35" t="s">
        <v>392</v>
      </c>
      <c r="BR234" s="35" t="s">
        <v>393</v>
      </c>
      <c r="DC234" s="35">
        <v>48.16</v>
      </c>
      <c r="DD234" s="35">
        <v>22.75</v>
      </c>
      <c r="DE234" s="35" t="s">
        <v>364</v>
      </c>
      <c r="DO234" s="35">
        <v>2820.6</v>
      </c>
      <c r="DP234" s="35">
        <v>444.43</v>
      </c>
      <c r="DQ234" s="35">
        <f t="shared" si="41"/>
        <v>286.86000000000058</v>
      </c>
      <c r="EJ234" s="12"/>
      <c r="EL234" s="15"/>
      <c r="FR234" s="35" t="s">
        <v>393</v>
      </c>
      <c r="FT234" s="35">
        <v>17</v>
      </c>
    </row>
    <row r="235" spans="1:176" s="35" customFormat="1" x14ac:dyDescent="0.25">
      <c r="A235" s="35">
        <v>17</v>
      </c>
      <c r="B235" s="35" t="s">
        <v>357</v>
      </c>
      <c r="C235" s="35" t="s">
        <v>358</v>
      </c>
      <c r="D235" s="35">
        <v>2016</v>
      </c>
      <c r="E235" s="35">
        <v>2011</v>
      </c>
      <c r="F235" s="35" t="s">
        <v>342</v>
      </c>
      <c r="G235" s="35" t="s">
        <v>359</v>
      </c>
      <c r="H235" s="35">
        <f t="shared" si="38"/>
        <v>40.716666666666669</v>
      </c>
      <c r="I235" s="35">
        <f t="shared" si="39"/>
        <v>-77.916666666666671</v>
      </c>
      <c r="J235" s="35">
        <v>350</v>
      </c>
      <c r="N235" s="35">
        <v>975</v>
      </c>
      <c r="P235" s="54">
        <v>1</v>
      </c>
      <c r="Q235" s="54"/>
      <c r="R235" s="54"/>
      <c r="S235" s="54" t="s">
        <v>1565</v>
      </c>
      <c r="T235" s="54" t="s">
        <v>1565</v>
      </c>
      <c r="U235" s="54" t="s">
        <v>1565</v>
      </c>
      <c r="V235" s="54" t="s">
        <v>1908</v>
      </c>
      <c r="Z235" s="35" t="s">
        <v>531</v>
      </c>
      <c r="AD235" s="35" t="s">
        <v>1482</v>
      </c>
      <c r="AE235" s="35" t="s">
        <v>1683</v>
      </c>
      <c r="AF235" s="152" t="s">
        <v>727</v>
      </c>
      <c r="AG235" s="35" t="s">
        <v>160</v>
      </c>
      <c r="AH235" s="154" t="s">
        <v>1801</v>
      </c>
      <c r="AI235" s="35" t="s">
        <v>360</v>
      </c>
      <c r="AJ235" s="35" t="s">
        <v>360</v>
      </c>
      <c r="AK235" s="35" t="s">
        <v>212</v>
      </c>
      <c r="AO235" s="35" t="s">
        <v>361</v>
      </c>
      <c r="AP235" s="35" t="s">
        <v>361</v>
      </c>
      <c r="AQ235" s="35" t="s">
        <v>212</v>
      </c>
      <c r="AR235" s="35" t="s">
        <v>192</v>
      </c>
      <c r="AS235" s="35">
        <v>4</v>
      </c>
      <c r="AT235" s="35">
        <v>4</v>
      </c>
      <c r="AU235" s="35" t="s">
        <v>169</v>
      </c>
      <c r="AW235" s="35">
        <v>7415</v>
      </c>
      <c r="AX235" s="35">
        <v>43.1</v>
      </c>
      <c r="AY235" s="63"/>
      <c r="BD235" s="35">
        <v>6975</v>
      </c>
      <c r="BE235" s="35">
        <v>5917</v>
      </c>
      <c r="BM235" s="35">
        <f t="shared" si="40"/>
        <v>8.1355000000000004</v>
      </c>
      <c r="BN235" s="35">
        <v>5.54</v>
      </c>
      <c r="BO235" s="35" t="s">
        <v>392</v>
      </c>
      <c r="BR235" s="35" t="s">
        <v>393</v>
      </c>
      <c r="DC235" s="35">
        <v>48.16</v>
      </c>
      <c r="DD235" s="35">
        <v>1.07</v>
      </c>
      <c r="DE235" s="35" t="s">
        <v>364</v>
      </c>
      <c r="DO235" s="35">
        <v>2820.6</v>
      </c>
      <c r="DP235" s="35">
        <v>13.61</v>
      </c>
      <c r="DQ235" s="35">
        <f t="shared" si="41"/>
        <v>286.86000000000058</v>
      </c>
      <c r="EJ235" s="12"/>
      <c r="EL235" s="15"/>
      <c r="FR235" s="35" t="s">
        <v>393</v>
      </c>
      <c r="FT235" s="35">
        <v>17</v>
      </c>
    </row>
    <row r="236" spans="1:176" s="35" customFormat="1" x14ac:dyDescent="0.25">
      <c r="A236" s="35">
        <v>17</v>
      </c>
      <c r="B236" s="35" t="s">
        <v>357</v>
      </c>
      <c r="C236" s="35" t="s">
        <v>358</v>
      </c>
      <c r="D236" s="35">
        <v>2016</v>
      </c>
      <c r="E236" s="35">
        <v>2011</v>
      </c>
      <c r="F236" s="35" t="s">
        <v>342</v>
      </c>
      <c r="G236" s="35" t="s">
        <v>359</v>
      </c>
      <c r="H236" s="35">
        <f t="shared" si="38"/>
        <v>40.716666666666669</v>
      </c>
      <c r="I236" s="35">
        <f t="shared" si="39"/>
        <v>-77.916666666666671</v>
      </c>
      <c r="J236" s="35">
        <v>350</v>
      </c>
      <c r="N236" s="35">
        <v>975</v>
      </c>
      <c r="P236" s="54">
        <v>1</v>
      </c>
      <c r="Q236" s="54"/>
      <c r="R236" s="54"/>
      <c r="S236" s="54" t="s">
        <v>1565</v>
      </c>
      <c r="T236" s="54" t="s">
        <v>1565</v>
      </c>
      <c r="U236" s="54" t="s">
        <v>1565</v>
      </c>
      <c r="V236" s="54" t="s">
        <v>1908</v>
      </c>
      <c r="Z236" s="35" t="s">
        <v>531</v>
      </c>
      <c r="AD236" s="35" t="s">
        <v>1482</v>
      </c>
      <c r="AE236" s="35" t="s">
        <v>1684</v>
      </c>
      <c r="AF236" s="152" t="s">
        <v>727</v>
      </c>
      <c r="AG236" s="35" t="s">
        <v>160</v>
      </c>
      <c r="AH236" s="154" t="s">
        <v>1801</v>
      </c>
      <c r="AI236" s="35" t="s">
        <v>360</v>
      </c>
      <c r="AJ236" s="35" t="s">
        <v>360</v>
      </c>
      <c r="AK236" s="35" t="s">
        <v>212</v>
      </c>
      <c r="AO236" s="35" t="s">
        <v>361</v>
      </c>
      <c r="AP236" s="35" t="s">
        <v>361</v>
      </c>
      <c r="AQ236" s="35" t="s">
        <v>212</v>
      </c>
      <c r="AR236" s="35" t="s">
        <v>192</v>
      </c>
      <c r="AS236" s="35">
        <v>4</v>
      </c>
      <c r="AT236" s="35">
        <v>4</v>
      </c>
      <c r="AU236" s="35" t="s">
        <v>169</v>
      </c>
      <c r="AW236" s="35">
        <v>5850</v>
      </c>
      <c r="AX236" s="35">
        <v>29.9</v>
      </c>
      <c r="AY236" s="63"/>
      <c r="BD236" s="35">
        <v>6975</v>
      </c>
      <c r="BE236" s="35">
        <v>6645</v>
      </c>
      <c r="BM236" s="35">
        <f t="shared" si="40"/>
        <v>8.1355000000000004</v>
      </c>
      <c r="BN236" s="35">
        <v>6.65</v>
      </c>
      <c r="BO236" s="35" t="s">
        <v>392</v>
      </c>
      <c r="BR236" s="35" t="s">
        <v>393</v>
      </c>
      <c r="DC236" s="35">
        <v>48.16</v>
      </c>
      <c r="DD236" s="35">
        <v>5.4</v>
      </c>
      <c r="DE236" s="35" t="s">
        <v>364</v>
      </c>
      <c r="DO236" s="35">
        <v>2820.6</v>
      </c>
      <c r="DP236" s="35">
        <v>22.66</v>
      </c>
      <c r="DQ236" s="35">
        <f t="shared" si="41"/>
        <v>286.86000000000058</v>
      </c>
      <c r="EJ236" s="12"/>
      <c r="EL236" s="15"/>
      <c r="FR236" s="35" t="s">
        <v>393</v>
      </c>
      <c r="FT236" s="35">
        <v>17</v>
      </c>
    </row>
    <row r="237" spans="1:176" s="35" customFormat="1" x14ac:dyDescent="0.25">
      <c r="A237" s="35">
        <v>17</v>
      </c>
      <c r="B237" s="35" t="s">
        <v>357</v>
      </c>
      <c r="C237" s="35" t="s">
        <v>358</v>
      </c>
      <c r="D237" s="35">
        <v>2016</v>
      </c>
      <c r="E237" s="35">
        <v>2011</v>
      </c>
      <c r="F237" s="35" t="s">
        <v>342</v>
      </c>
      <c r="G237" s="35" t="s">
        <v>359</v>
      </c>
      <c r="H237" s="35">
        <f t="shared" si="38"/>
        <v>40.716666666666669</v>
      </c>
      <c r="I237" s="35">
        <f t="shared" si="39"/>
        <v>-77.916666666666671</v>
      </c>
      <c r="J237" s="35">
        <v>350</v>
      </c>
      <c r="N237" s="35">
        <v>975</v>
      </c>
      <c r="P237" s="54">
        <v>1</v>
      </c>
      <c r="Q237" s="54"/>
      <c r="R237" s="54"/>
      <c r="S237" s="54" t="s">
        <v>1565</v>
      </c>
      <c r="T237" s="54" t="s">
        <v>1565</v>
      </c>
      <c r="U237" s="54" t="s">
        <v>1565</v>
      </c>
      <c r="V237" s="54" t="s">
        <v>1908</v>
      </c>
      <c r="Z237" s="35" t="s">
        <v>531</v>
      </c>
      <c r="AD237" s="35" t="s">
        <v>1482</v>
      </c>
      <c r="AE237" s="35" t="s">
        <v>1685</v>
      </c>
      <c r="AF237" s="152" t="s">
        <v>727</v>
      </c>
      <c r="AG237" s="35" t="s">
        <v>160</v>
      </c>
      <c r="AH237" s="154" t="s">
        <v>1801</v>
      </c>
      <c r="AI237" s="35" t="s">
        <v>360</v>
      </c>
      <c r="AJ237" s="35" t="s">
        <v>360</v>
      </c>
      <c r="AK237" s="35" t="s">
        <v>212</v>
      </c>
      <c r="AO237" s="35" t="s">
        <v>361</v>
      </c>
      <c r="AP237" s="35" t="s">
        <v>361</v>
      </c>
      <c r="AQ237" s="35" t="s">
        <v>212</v>
      </c>
      <c r="AR237" s="35" t="s">
        <v>192</v>
      </c>
      <c r="AS237" s="35">
        <v>4</v>
      </c>
      <c r="AT237" s="35">
        <v>4</v>
      </c>
      <c r="AU237" s="35" t="s">
        <v>169</v>
      </c>
      <c r="AW237" s="35">
        <v>1724</v>
      </c>
      <c r="AX237" s="35">
        <v>15.4</v>
      </c>
      <c r="AY237" s="63"/>
      <c r="BD237" s="35">
        <v>6975</v>
      </c>
      <c r="BE237" s="35">
        <v>7636</v>
      </c>
      <c r="BM237" s="35">
        <f t="shared" si="40"/>
        <v>8.1355000000000004</v>
      </c>
      <c r="BN237" s="35">
        <v>7.87</v>
      </c>
      <c r="BO237" s="35" t="s">
        <v>392</v>
      </c>
      <c r="BR237" s="35" t="s">
        <v>393</v>
      </c>
      <c r="DC237" s="35">
        <v>48.16</v>
      </c>
      <c r="DD237" s="35">
        <v>22.68</v>
      </c>
      <c r="DE237" s="35" t="s">
        <v>364</v>
      </c>
      <c r="DO237" s="35">
        <v>2820.6</v>
      </c>
      <c r="DP237" s="35">
        <v>672.42</v>
      </c>
      <c r="DQ237" s="35">
        <f t="shared" si="41"/>
        <v>286.86000000000058</v>
      </c>
      <c r="EJ237" s="12"/>
      <c r="EL237" s="15"/>
      <c r="FR237" s="35" t="s">
        <v>393</v>
      </c>
      <c r="FT237" s="35">
        <v>17</v>
      </c>
    </row>
    <row r="238" spans="1:176" s="35" customFormat="1" x14ac:dyDescent="0.25">
      <c r="A238" s="35">
        <v>17</v>
      </c>
      <c r="B238" s="35" t="s">
        <v>357</v>
      </c>
      <c r="C238" s="35" t="s">
        <v>358</v>
      </c>
      <c r="D238" s="35">
        <v>2016</v>
      </c>
      <c r="E238" s="35">
        <v>2011</v>
      </c>
      <c r="F238" s="35" t="s">
        <v>342</v>
      </c>
      <c r="G238" s="35" t="s">
        <v>359</v>
      </c>
      <c r="H238" s="35">
        <f t="shared" si="38"/>
        <v>40.716666666666669</v>
      </c>
      <c r="I238" s="35">
        <f t="shared" si="39"/>
        <v>-77.916666666666671</v>
      </c>
      <c r="J238" s="35">
        <v>350</v>
      </c>
      <c r="N238" s="35">
        <v>975</v>
      </c>
      <c r="P238" s="54">
        <v>1</v>
      </c>
      <c r="Q238" s="54"/>
      <c r="R238" s="54"/>
      <c r="S238" s="54" t="s">
        <v>1565</v>
      </c>
      <c r="T238" s="54" t="s">
        <v>1565</v>
      </c>
      <c r="U238" s="54" t="s">
        <v>1565</v>
      </c>
      <c r="V238" s="54" t="s">
        <v>1908</v>
      </c>
      <c r="Z238" s="35" t="s">
        <v>531</v>
      </c>
      <c r="AD238" s="35" t="s">
        <v>1482</v>
      </c>
      <c r="AE238" s="35" t="s">
        <v>1686</v>
      </c>
      <c r="AF238" s="152" t="s">
        <v>727</v>
      </c>
      <c r="AG238" s="35" t="s">
        <v>160</v>
      </c>
      <c r="AH238" s="154" t="s">
        <v>1801</v>
      </c>
      <c r="AI238" s="35" t="s">
        <v>360</v>
      </c>
      <c r="AJ238" s="35" t="s">
        <v>360</v>
      </c>
      <c r="AK238" s="35" t="s">
        <v>212</v>
      </c>
      <c r="AO238" s="35" t="s">
        <v>361</v>
      </c>
      <c r="AP238" s="35" t="s">
        <v>361</v>
      </c>
      <c r="AQ238" s="35" t="s">
        <v>212</v>
      </c>
      <c r="AR238" s="35" t="s">
        <v>192</v>
      </c>
      <c r="AS238" s="35">
        <v>4</v>
      </c>
      <c r="AT238" s="35">
        <v>4</v>
      </c>
      <c r="AU238" s="35" t="s">
        <v>169</v>
      </c>
      <c r="AW238" s="35">
        <v>6699</v>
      </c>
      <c r="AX238" s="35">
        <v>16.399999999999999</v>
      </c>
      <c r="AY238" s="63"/>
      <c r="BD238" s="35">
        <v>6975</v>
      </c>
      <c r="BE238" s="35">
        <v>9289</v>
      </c>
      <c r="BM238" s="35">
        <f t="shared" si="40"/>
        <v>8.1355000000000004</v>
      </c>
      <c r="BN238" s="35">
        <v>11.12</v>
      </c>
      <c r="BO238" s="35" t="s">
        <v>392</v>
      </c>
      <c r="BR238" s="35" t="s">
        <v>393</v>
      </c>
      <c r="DC238" s="35">
        <v>48.16</v>
      </c>
      <c r="DD238" s="35">
        <v>3.65</v>
      </c>
      <c r="DE238" s="35" t="s">
        <v>364</v>
      </c>
      <c r="DO238" s="35">
        <v>2820.6</v>
      </c>
      <c r="DP238" s="35">
        <v>21.63</v>
      </c>
      <c r="DQ238" s="35">
        <f t="shared" si="41"/>
        <v>286.86000000000058</v>
      </c>
      <c r="EJ238" s="12"/>
      <c r="EL238" s="15"/>
      <c r="FR238" s="35" t="s">
        <v>393</v>
      </c>
      <c r="FT238" s="35">
        <v>17</v>
      </c>
    </row>
    <row r="239" spans="1:176" s="35" customFormat="1" x14ac:dyDescent="0.25">
      <c r="A239" s="35">
        <v>17</v>
      </c>
      <c r="B239" s="35" t="s">
        <v>357</v>
      </c>
      <c r="C239" s="35" t="s">
        <v>358</v>
      </c>
      <c r="D239" s="35">
        <v>2016</v>
      </c>
      <c r="E239" s="35">
        <v>2011</v>
      </c>
      <c r="F239" s="35" t="s">
        <v>342</v>
      </c>
      <c r="G239" s="35" t="s">
        <v>359</v>
      </c>
      <c r="H239" s="35">
        <f t="shared" si="38"/>
        <v>40.716666666666669</v>
      </c>
      <c r="I239" s="35">
        <f t="shared" si="39"/>
        <v>-77.916666666666671</v>
      </c>
      <c r="J239" s="35">
        <v>350</v>
      </c>
      <c r="N239" s="35">
        <v>975</v>
      </c>
      <c r="P239" s="54">
        <v>1</v>
      </c>
      <c r="Q239" s="54"/>
      <c r="R239" s="54"/>
      <c r="S239" s="54" t="s">
        <v>1565</v>
      </c>
      <c r="T239" s="54" t="s">
        <v>1565</v>
      </c>
      <c r="U239" s="54" t="s">
        <v>1565</v>
      </c>
      <c r="V239" s="54" t="s">
        <v>1908</v>
      </c>
      <c r="Z239" s="35" t="s">
        <v>531</v>
      </c>
      <c r="AD239" s="35" t="s">
        <v>1482</v>
      </c>
      <c r="AE239" s="35" t="s">
        <v>1687</v>
      </c>
      <c r="AF239" s="152" t="s">
        <v>727</v>
      </c>
      <c r="AG239" s="35" t="s">
        <v>160</v>
      </c>
      <c r="AH239" s="154" t="s">
        <v>1801</v>
      </c>
      <c r="AI239" s="35" t="s">
        <v>360</v>
      </c>
      <c r="AJ239" s="35" t="s">
        <v>360</v>
      </c>
      <c r="AK239" s="35" t="s">
        <v>212</v>
      </c>
      <c r="AO239" s="35" t="s">
        <v>361</v>
      </c>
      <c r="AP239" s="35" t="s">
        <v>361</v>
      </c>
      <c r="AQ239" s="35" t="s">
        <v>212</v>
      </c>
      <c r="AR239" s="35" t="s">
        <v>192</v>
      </c>
      <c r="AS239" s="35">
        <v>4</v>
      </c>
      <c r="AT239" s="35">
        <v>4</v>
      </c>
      <c r="AU239" s="35" t="s">
        <v>169</v>
      </c>
      <c r="AW239" s="35">
        <v>6997</v>
      </c>
      <c r="AX239" s="35">
        <v>35.9</v>
      </c>
      <c r="AY239" s="63"/>
      <c r="BD239" s="35">
        <v>6975</v>
      </c>
      <c r="BE239" s="35">
        <v>5818</v>
      </c>
      <c r="BM239" s="35">
        <f t="shared" si="40"/>
        <v>8.1355000000000004</v>
      </c>
      <c r="BN239" s="35">
        <v>6.23</v>
      </c>
      <c r="BO239" s="35" t="s">
        <v>392</v>
      </c>
      <c r="BR239" s="35" t="s">
        <v>393</v>
      </c>
      <c r="DC239" s="35">
        <v>48.16</v>
      </c>
      <c r="DD239" s="35">
        <v>0.97</v>
      </c>
      <c r="DE239" s="35" t="s">
        <v>364</v>
      </c>
      <c r="DO239" s="35">
        <v>2820.6</v>
      </c>
      <c r="DP239" s="35">
        <v>11.57</v>
      </c>
      <c r="DQ239" s="35">
        <f t="shared" si="41"/>
        <v>286.86000000000058</v>
      </c>
      <c r="EJ239" s="12"/>
      <c r="EL239" s="15"/>
      <c r="FR239" s="35" t="s">
        <v>393</v>
      </c>
      <c r="FT239" s="35">
        <v>17</v>
      </c>
    </row>
    <row r="240" spans="1:176" s="35" customFormat="1" x14ac:dyDescent="0.25">
      <c r="A240" s="35">
        <v>17</v>
      </c>
      <c r="B240" s="35" t="s">
        <v>357</v>
      </c>
      <c r="C240" s="35" t="s">
        <v>358</v>
      </c>
      <c r="D240" s="35">
        <v>2016</v>
      </c>
      <c r="E240" s="35">
        <v>2011</v>
      </c>
      <c r="F240" s="35" t="s">
        <v>342</v>
      </c>
      <c r="G240" s="35" t="s">
        <v>359</v>
      </c>
      <c r="H240" s="35">
        <f t="shared" si="38"/>
        <v>40.716666666666669</v>
      </c>
      <c r="I240" s="35">
        <f t="shared" si="39"/>
        <v>-77.916666666666671</v>
      </c>
      <c r="J240" s="35">
        <v>350</v>
      </c>
      <c r="N240" s="35">
        <v>975</v>
      </c>
      <c r="P240" s="54">
        <v>1</v>
      </c>
      <c r="Q240" s="54"/>
      <c r="R240" s="54"/>
      <c r="S240" s="54" t="s">
        <v>1565</v>
      </c>
      <c r="T240" s="54" t="s">
        <v>1565</v>
      </c>
      <c r="U240" s="54" t="s">
        <v>1565</v>
      </c>
      <c r="V240" s="54" t="s">
        <v>1908</v>
      </c>
      <c r="Z240" s="35" t="s">
        <v>531</v>
      </c>
      <c r="AD240" s="35" t="s">
        <v>1482</v>
      </c>
      <c r="AE240" s="35" t="s">
        <v>1688</v>
      </c>
      <c r="AF240" s="152" t="s">
        <v>727</v>
      </c>
      <c r="AG240" s="35" t="s">
        <v>160</v>
      </c>
      <c r="AH240" s="154" t="s">
        <v>1801</v>
      </c>
      <c r="AI240" s="35" t="s">
        <v>360</v>
      </c>
      <c r="AJ240" s="35" t="s">
        <v>360</v>
      </c>
      <c r="AK240" s="35" t="s">
        <v>212</v>
      </c>
      <c r="AO240" s="35" t="s">
        <v>361</v>
      </c>
      <c r="AP240" s="35" t="s">
        <v>361</v>
      </c>
      <c r="AQ240" s="35" t="s">
        <v>212</v>
      </c>
      <c r="AR240" s="35" t="s">
        <v>192</v>
      </c>
      <c r="AS240" s="35">
        <v>4</v>
      </c>
      <c r="AT240" s="35">
        <v>4</v>
      </c>
      <c r="AU240" s="35" t="s">
        <v>169</v>
      </c>
      <c r="AW240" s="35">
        <v>5374</v>
      </c>
      <c r="AX240" s="35">
        <v>11</v>
      </c>
      <c r="AY240" s="63"/>
      <c r="BD240" s="35">
        <v>6975</v>
      </c>
      <c r="BE240" s="35">
        <v>10281</v>
      </c>
      <c r="BM240" s="35">
        <f t="shared" si="40"/>
        <v>8.1355000000000004</v>
      </c>
      <c r="BN240" s="35">
        <v>17.11</v>
      </c>
      <c r="BO240" s="35" t="s">
        <v>392</v>
      </c>
      <c r="BR240" s="35" t="s">
        <v>393</v>
      </c>
      <c r="DC240" s="35">
        <v>48.16</v>
      </c>
      <c r="DD240" s="35">
        <v>24.38</v>
      </c>
      <c r="DE240" s="35" t="s">
        <v>364</v>
      </c>
      <c r="DO240" s="35">
        <v>2820.6</v>
      </c>
      <c r="DP240" s="35">
        <v>20.62</v>
      </c>
      <c r="DQ240" s="35">
        <f t="shared" si="41"/>
        <v>286.86000000000058</v>
      </c>
      <c r="EJ240" s="12"/>
      <c r="EL240" s="15"/>
      <c r="FR240" s="35" t="s">
        <v>393</v>
      </c>
      <c r="FT240" s="35">
        <v>17</v>
      </c>
    </row>
    <row r="241" spans="1:176" s="35" customFormat="1" x14ac:dyDescent="0.25">
      <c r="A241" s="35">
        <v>17</v>
      </c>
      <c r="B241" s="35" t="s">
        <v>357</v>
      </c>
      <c r="C241" s="35" t="s">
        <v>358</v>
      </c>
      <c r="D241" s="35">
        <v>2016</v>
      </c>
      <c r="E241" s="35">
        <v>2011</v>
      </c>
      <c r="F241" s="35" t="s">
        <v>342</v>
      </c>
      <c r="G241" s="35" t="s">
        <v>359</v>
      </c>
      <c r="H241" s="35">
        <f t="shared" si="38"/>
        <v>40.716666666666669</v>
      </c>
      <c r="I241" s="35">
        <f t="shared" si="39"/>
        <v>-77.916666666666671</v>
      </c>
      <c r="J241" s="35">
        <v>350</v>
      </c>
      <c r="N241" s="35">
        <v>975</v>
      </c>
      <c r="P241" s="54">
        <v>1</v>
      </c>
      <c r="Q241" s="54"/>
      <c r="R241" s="54"/>
      <c r="S241" s="54" t="s">
        <v>1565</v>
      </c>
      <c r="T241" s="54" t="s">
        <v>1565</v>
      </c>
      <c r="U241" s="54" t="s">
        <v>1565</v>
      </c>
      <c r="V241" s="54" t="s">
        <v>1908</v>
      </c>
      <c r="Z241" s="35" t="s">
        <v>531</v>
      </c>
      <c r="AD241" s="35" t="s">
        <v>1482</v>
      </c>
      <c r="AE241" s="35" t="s">
        <v>362</v>
      </c>
      <c r="AF241" s="152" t="s">
        <v>727</v>
      </c>
      <c r="AG241" s="35" t="s">
        <v>160</v>
      </c>
      <c r="AH241" s="154" t="s">
        <v>1801</v>
      </c>
      <c r="AI241" s="35" t="s">
        <v>360</v>
      </c>
      <c r="AJ241" s="35" t="s">
        <v>360</v>
      </c>
      <c r="AK241" s="35" t="s">
        <v>212</v>
      </c>
      <c r="AO241" s="35" t="s">
        <v>361</v>
      </c>
      <c r="AP241" s="35" t="s">
        <v>361</v>
      </c>
      <c r="AQ241" s="35" t="s">
        <v>212</v>
      </c>
      <c r="AR241" s="35" t="s">
        <v>192</v>
      </c>
      <c r="AS241" s="35">
        <v>4</v>
      </c>
      <c r="AT241" s="35">
        <v>4</v>
      </c>
      <c r="AU241" s="35" t="s">
        <v>169</v>
      </c>
      <c r="AW241" s="35">
        <v>7143</v>
      </c>
      <c r="AX241" s="35">
        <v>15</v>
      </c>
      <c r="AY241" s="63"/>
      <c r="BD241" s="35">
        <v>6975</v>
      </c>
      <c r="BE241" s="35">
        <v>9884</v>
      </c>
      <c r="BM241" s="35">
        <f t="shared" si="40"/>
        <v>8.1355000000000004</v>
      </c>
      <c r="BN241" s="35">
        <v>13.95</v>
      </c>
      <c r="BO241" s="35" t="s">
        <v>392</v>
      </c>
      <c r="BR241" s="35" t="s">
        <v>393</v>
      </c>
      <c r="DC241" s="35">
        <v>48.16</v>
      </c>
      <c r="DD241" s="35">
        <v>11.53</v>
      </c>
      <c r="DE241" s="35" t="s">
        <v>364</v>
      </c>
      <c r="DO241" s="35">
        <v>2820.6</v>
      </c>
      <c r="DP241" s="35">
        <v>10</v>
      </c>
      <c r="DQ241" s="35">
        <f t="shared" si="41"/>
        <v>286.86000000000058</v>
      </c>
      <c r="EJ241" s="12"/>
      <c r="EL241" s="15"/>
      <c r="FR241" s="35" t="s">
        <v>393</v>
      </c>
      <c r="FT241" s="35">
        <v>17</v>
      </c>
    </row>
    <row r="242" spans="1:176" s="35" customFormat="1" x14ac:dyDescent="0.25">
      <c r="A242" s="35">
        <v>17</v>
      </c>
      <c r="B242" s="35" t="s">
        <v>357</v>
      </c>
      <c r="C242" s="35" t="s">
        <v>358</v>
      </c>
      <c r="D242" s="35">
        <v>2016</v>
      </c>
      <c r="E242" s="35">
        <v>2011</v>
      </c>
      <c r="F242" s="35" t="s">
        <v>342</v>
      </c>
      <c r="G242" s="35" t="s">
        <v>359</v>
      </c>
      <c r="H242" s="35">
        <f t="shared" si="38"/>
        <v>40.716666666666669</v>
      </c>
      <c r="I242" s="35">
        <f t="shared" si="39"/>
        <v>-77.916666666666671</v>
      </c>
      <c r="J242" s="35">
        <v>350</v>
      </c>
      <c r="N242" s="35">
        <v>975</v>
      </c>
      <c r="P242" s="54">
        <v>1</v>
      </c>
      <c r="Q242" s="54"/>
      <c r="R242" s="54"/>
      <c r="S242" s="54" t="s">
        <v>1565</v>
      </c>
      <c r="T242" s="54" t="s">
        <v>1565</v>
      </c>
      <c r="U242" s="54" t="s">
        <v>1565</v>
      </c>
      <c r="V242" s="54" t="s">
        <v>1908</v>
      </c>
      <c r="Z242" s="35" t="s">
        <v>531</v>
      </c>
      <c r="AD242" s="35" t="s">
        <v>1482</v>
      </c>
      <c r="AE242" s="35" t="s">
        <v>363</v>
      </c>
      <c r="AF242" s="152" t="s">
        <v>727</v>
      </c>
      <c r="AG242" s="35" t="s">
        <v>160</v>
      </c>
      <c r="AH242" s="154" t="s">
        <v>1801</v>
      </c>
      <c r="AI242" s="35" t="s">
        <v>360</v>
      </c>
      <c r="AJ242" s="35" t="s">
        <v>360</v>
      </c>
      <c r="AK242" s="35" t="s">
        <v>212</v>
      </c>
      <c r="AO242" s="35" t="s">
        <v>361</v>
      </c>
      <c r="AP242" s="35" t="s">
        <v>361</v>
      </c>
      <c r="AQ242" s="35" t="s">
        <v>212</v>
      </c>
      <c r="AR242" s="35" t="s">
        <v>192</v>
      </c>
      <c r="AS242" s="35">
        <v>4</v>
      </c>
      <c r="AT242" s="35">
        <v>4</v>
      </c>
      <c r="AU242" s="35" t="s">
        <v>169</v>
      </c>
      <c r="AY242" s="63"/>
      <c r="DO242" s="35">
        <v>2820.6</v>
      </c>
      <c r="DP242" s="35">
        <v>10</v>
      </c>
      <c r="DQ242" s="35">
        <f t="shared" si="41"/>
        <v>286.86000000000058</v>
      </c>
      <c r="EJ242" s="12"/>
      <c r="EL242" s="15"/>
      <c r="FR242" s="35" t="s">
        <v>393</v>
      </c>
      <c r="FT242" s="35">
        <v>17</v>
      </c>
    </row>
    <row r="243" spans="1:176" s="26" customFormat="1" x14ac:dyDescent="0.25">
      <c r="A243" s="26">
        <v>17</v>
      </c>
      <c r="B243" s="26" t="s">
        <v>357</v>
      </c>
      <c r="C243" s="26" t="s">
        <v>358</v>
      </c>
      <c r="D243" s="26">
        <v>2016</v>
      </c>
      <c r="E243" s="26">
        <v>2012</v>
      </c>
      <c r="F243" s="35" t="s">
        <v>342</v>
      </c>
      <c r="G243" s="26" t="s">
        <v>359</v>
      </c>
      <c r="H243" s="26">
        <f t="shared" si="38"/>
        <v>40.716666666666669</v>
      </c>
      <c r="I243" s="26">
        <f t="shared" si="39"/>
        <v>-77.916666666666671</v>
      </c>
      <c r="J243" s="26">
        <v>350</v>
      </c>
      <c r="N243" s="26">
        <v>975</v>
      </c>
      <c r="P243" s="52">
        <v>2</v>
      </c>
      <c r="Q243" s="52"/>
      <c r="R243" s="52"/>
      <c r="S243" s="52" t="s">
        <v>1565</v>
      </c>
      <c r="T243" s="52" t="s">
        <v>1565</v>
      </c>
      <c r="U243" s="52" t="s">
        <v>1565</v>
      </c>
      <c r="V243" s="52" t="s">
        <v>1908</v>
      </c>
      <c r="Z243" s="26" t="s">
        <v>531</v>
      </c>
      <c r="AD243" s="26" t="s">
        <v>1482</v>
      </c>
      <c r="AE243" s="26" t="s">
        <v>1710</v>
      </c>
      <c r="AF243" s="152" t="s">
        <v>666</v>
      </c>
      <c r="AG243" s="26" t="s">
        <v>160</v>
      </c>
      <c r="AH243" s="154" t="s">
        <v>1801</v>
      </c>
      <c r="AI243" s="26" t="s">
        <v>360</v>
      </c>
      <c r="AJ243" s="26" t="s">
        <v>360</v>
      </c>
      <c r="AK243" s="26" t="s">
        <v>212</v>
      </c>
      <c r="AO243" s="26" t="s">
        <v>361</v>
      </c>
      <c r="AP243" s="26" t="s">
        <v>361</v>
      </c>
      <c r="AQ243" s="26" t="s">
        <v>212</v>
      </c>
      <c r="AR243" s="26" t="s">
        <v>192</v>
      </c>
      <c r="AS243" s="26">
        <v>4</v>
      </c>
      <c r="AT243" s="26">
        <v>4</v>
      </c>
      <c r="AU243" s="26" t="s">
        <v>169</v>
      </c>
      <c r="AW243" s="26">
        <v>666</v>
      </c>
      <c r="AX243" s="26">
        <v>11.7</v>
      </c>
      <c r="AY243" s="63"/>
      <c r="BD243" s="26">
        <v>8826</v>
      </c>
      <c r="BE243" s="26">
        <v>7570</v>
      </c>
      <c r="BM243" s="26">
        <f>15.23*0.614</f>
        <v>9.3512199999999996</v>
      </c>
      <c r="BN243" s="26">
        <v>8.5399999999999991</v>
      </c>
      <c r="BO243" s="26" t="s">
        <v>392</v>
      </c>
      <c r="BR243" s="35" t="s">
        <v>393</v>
      </c>
      <c r="DC243" s="26">
        <v>115.77</v>
      </c>
      <c r="DD243" s="26">
        <v>42.8294</v>
      </c>
      <c r="DE243" s="35" t="s">
        <v>364</v>
      </c>
      <c r="DO243" s="26">
        <v>190.68</v>
      </c>
      <c r="DP243" s="26">
        <v>295.35000000000002</v>
      </c>
      <c r="DQ243" s="26">
        <f t="shared" ref="DQ243:DQ259" si="42">(267.2-DO243)*2</f>
        <v>153.03999999999996</v>
      </c>
      <c r="EJ243" s="12"/>
      <c r="EL243" s="15"/>
      <c r="FR243" s="35" t="s">
        <v>393</v>
      </c>
      <c r="FT243" s="26">
        <v>17</v>
      </c>
    </row>
    <row r="244" spans="1:176" s="26" customFormat="1" x14ac:dyDescent="0.25">
      <c r="A244" s="26">
        <v>17</v>
      </c>
      <c r="B244" s="26" t="s">
        <v>357</v>
      </c>
      <c r="C244" s="26" t="s">
        <v>358</v>
      </c>
      <c r="D244" s="26">
        <v>2016</v>
      </c>
      <c r="E244" s="26">
        <v>2012</v>
      </c>
      <c r="F244" s="35" t="s">
        <v>342</v>
      </c>
      <c r="G244" s="26" t="s">
        <v>359</v>
      </c>
      <c r="H244" s="26">
        <f t="shared" si="38"/>
        <v>40.716666666666669</v>
      </c>
      <c r="I244" s="26">
        <f t="shared" si="39"/>
        <v>-77.916666666666671</v>
      </c>
      <c r="J244" s="26">
        <v>350</v>
      </c>
      <c r="N244" s="26">
        <v>975</v>
      </c>
      <c r="P244" s="52">
        <v>2</v>
      </c>
      <c r="Q244" s="52"/>
      <c r="R244" s="52"/>
      <c r="S244" s="52" t="s">
        <v>1565</v>
      </c>
      <c r="T244" s="52" t="s">
        <v>1565</v>
      </c>
      <c r="U244" s="52" t="s">
        <v>1565</v>
      </c>
      <c r="V244" s="52" t="s">
        <v>1908</v>
      </c>
      <c r="Z244" s="26" t="s">
        <v>531</v>
      </c>
      <c r="AD244" s="26" t="s">
        <v>1482</v>
      </c>
      <c r="AE244" s="26" t="s">
        <v>1312</v>
      </c>
      <c r="AF244" s="152" t="s">
        <v>666</v>
      </c>
      <c r="AG244" s="26" t="s">
        <v>160</v>
      </c>
      <c r="AH244" s="154" t="s">
        <v>1801</v>
      </c>
      <c r="AI244" s="26" t="s">
        <v>360</v>
      </c>
      <c r="AJ244" s="26" t="s">
        <v>360</v>
      </c>
      <c r="AK244" s="26" t="s">
        <v>212</v>
      </c>
      <c r="AO244" s="26" t="s">
        <v>361</v>
      </c>
      <c r="AP244" s="26" t="s">
        <v>361</v>
      </c>
      <c r="AQ244" s="26" t="s">
        <v>212</v>
      </c>
      <c r="AR244" s="26" t="s">
        <v>192</v>
      </c>
      <c r="AS244" s="26">
        <v>4</v>
      </c>
      <c r="AT244" s="26">
        <v>4</v>
      </c>
      <c r="AU244" s="26" t="s">
        <v>169</v>
      </c>
      <c r="AW244" s="26">
        <v>2086</v>
      </c>
      <c r="AX244" s="26">
        <v>11.2</v>
      </c>
      <c r="AY244" s="63"/>
      <c r="BD244" s="26">
        <v>8826</v>
      </c>
      <c r="BE244" s="26">
        <v>8165</v>
      </c>
      <c r="BM244" s="26">
        <f t="shared" ref="BM244:BM259" si="43">15.23*0.614</f>
        <v>9.3512199999999996</v>
      </c>
      <c r="BN244" s="26">
        <v>7.31</v>
      </c>
      <c r="BO244" s="26" t="s">
        <v>392</v>
      </c>
      <c r="BR244" s="35" t="s">
        <v>393</v>
      </c>
      <c r="DC244" s="26">
        <v>115.77</v>
      </c>
      <c r="DD244" s="26">
        <v>115.73</v>
      </c>
      <c r="DE244" s="35" t="s">
        <v>364</v>
      </c>
      <c r="DO244" s="26">
        <v>190.68</v>
      </c>
      <c r="DP244" s="26">
        <v>256.60000000000002</v>
      </c>
      <c r="DQ244" s="26">
        <f t="shared" si="42"/>
        <v>153.03999999999996</v>
      </c>
      <c r="EJ244" s="12"/>
      <c r="EL244" s="15"/>
      <c r="FR244" s="35" t="s">
        <v>393</v>
      </c>
      <c r="FT244" s="26">
        <v>17</v>
      </c>
    </row>
    <row r="245" spans="1:176" s="26" customFormat="1" x14ac:dyDescent="0.25">
      <c r="A245" s="26">
        <v>17</v>
      </c>
      <c r="B245" s="26" t="s">
        <v>357</v>
      </c>
      <c r="C245" s="26" t="s">
        <v>358</v>
      </c>
      <c r="D245" s="26">
        <v>2016</v>
      </c>
      <c r="E245" s="26">
        <v>2012</v>
      </c>
      <c r="F245" s="35" t="s">
        <v>342</v>
      </c>
      <c r="G245" s="26" t="s">
        <v>359</v>
      </c>
      <c r="H245" s="26">
        <f t="shared" si="38"/>
        <v>40.716666666666669</v>
      </c>
      <c r="I245" s="26">
        <f t="shared" si="39"/>
        <v>-77.916666666666671</v>
      </c>
      <c r="J245" s="26">
        <v>350</v>
      </c>
      <c r="N245" s="26">
        <v>975</v>
      </c>
      <c r="P245" s="52">
        <v>2</v>
      </c>
      <c r="Q245" s="52"/>
      <c r="R245" s="52"/>
      <c r="S245" s="52" t="s">
        <v>1565</v>
      </c>
      <c r="T245" s="52" t="s">
        <v>1565</v>
      </c>
      <c r="U245" s="52" t="s">
        <v>1565</v>
      </c>
      <c r="V245" s="52" t="s">
        <v>1908</v>
      </c>
      <c r="Z245" s="26" t="s">
        <v>531</v>
      </c>
      <c r="AD245" s="26" t="s">
        <v>1482</v>
      </c>
      <c r="AE245" s="26" t="s">
        <v>1711</v>
      </c>
      <c r="AF245" s="152" t="s">
        <v>666</v>
      </c>
      <c r="AG245" s="26" t="s">
        <v>160</v>
      </c>
      <c r="AH245" s="154" t="s">
        <v>1801</v>
      </c>
      <c r="AI245" s="26" t="s">
        <v>360</v>
      </c>
      <c r="AJ245" s="26" t="s">
        <v>360</v>
      </c>
      <c r="AK245" s="26" t="s">
        <v>212</v>
      </c>
      <c r="AO245" s="26" t="s">
        <v>361</v>
      </c>
      <c r="AP245" s="26" t="s">
        <v>361</v>
      </c>
      <c r="AQ245" s="26" t="s">
        <v>212</v>
      </c>
      <c r="AR245" s="26" t="s">
        <v>192</v>
      </c>
      <c r="AS245" s="26">
        <v>4</v>
      </c>
      <c r="AT245" s="26">
        <v>4</v>
      </c>
      <c r="AU245" s="26" t="s">
        <v>169</v>
      </c>
      <c r="AW245" s="26">
        <v>4055</v>
      </c>
      <c r="AX245" s="26">
        <v>14.5</v>
      </c>
      <c r="AY245" s="63"/>
      <c r="BD245" s="26">
        <v>8826</v>
      </c>
      <c r="BE245" s="26">
        <v>10248</v>
      </c>
      <c r="BM245" s="26">
        <f t="shared" si="43"/>
        <v>9.3512199999999996</v>
      </c>
      <c r="BN245" s="26">
        <v>9.85</v>
      </c>
      <c r="BO245" s="26" t="s">
        <v>392</v>
      </c>
      <c r="BR245" s="35" t="s">
        <v>393</v>
      </c>
      <c r="DC245" s="26">
        <v>115.77</v>
      </c>
      <c r="DD245" s="26">
        <v>88.74</v>
      </c>
      <c r="DE245" s="35" t="s">
        <v>364</v>
      </c>
      <c r="DO245" s="26">
        <v>190.68</v>
      </c>
      <c r="DP245" s="26">
        <v>198.69</v>
      </c>
      <c r="DQ245" s="26">
        <f t="shared" si="42"/>
        <v>153.03999999999996</v>
      </c>
      <c r="EJ245" s="12"/>
      <c r="EL245" s="15"/>
      <c r="FR245" s="35" t="s">
        <v>393</v>
      </c>
      <c r="FT245" s="26">
        <v>17</v>
      </c>
    </row>
    <row r="246" spans="1:176" s="26" customFormat="1" x14ac:dyDescent="0.25">
      <c r="A246" s="26">
        <v>17</v>
      </c>
      <c r="B246" s="26" t="s">
        <v>357</v>
      </c>
      <c r="C246" s="26" t="s">
        <v>358</v>
      </c>
      <c r="D246" s="26">
        <v>2016</v>
      </c>
      <c r="E246" s="26">
        <v>2012</v>
      </c>
      <c r="F246" s="35" t="s">
        <v>342</v>
      </c>
      <c r="G246" s="26" t="s">
        <v>359</v>
      </c>
      <c r="H246" s="26">
        <f t="shared" si="38"/>
        <v>40.716666666666669</v>
      </c>
      <c r="I246" s="26">
        <f t="shared" si="39"/>
        <v>-77.916666666666671</v>
      </c>
      <c r="J246" s="26">
        <v>350</v>
      </c>
      <c r="N246" s="26">
        <v>975</v>
      </c>
      <c r="P246" s="52">
        <v>2</v>
      </c>
      <c r="Q246" s="52"/>
      <c r="R246" s="52"/>
      <c r="S246" s="52" t="s">
        <v>1565</v>
      </c>
      <c r="T246" s="52" t="s">
        <v>1565</v>
      </c>
      <c r="U246" s="52" t="s">
        <v>1565</v>
      </c>
      <c r="V246" s="52" t="s">
        <v>1908</v>
      </c>
      <c r="Z246" s="26" t="s">
        <v>531</v>
      </c>
      <c r="AD246" s="26" t="s">
        <v>1482</v>
      </c>
      <c r="AE246" s="26" t="s">
        <v>281</v>
      </c>
      <c r="AF246" s="152" t="s">
        <v>666</v>
      </c>
      <c r="AG246" s="26" t="s">
        <v>160</v>
      </c>
      <c r="AH246" s="154" t="s">
        <v>1801</v>
      </c>
      <c r="AI246" s="26" t="s">
        <v>360</v>
      </c>
      <c r="AJ246" s="26" t="s">
        <v>360</v>
      </c>
      <c r="AK246" s="26" t="s">
        <v>212</v>
      </c>
      <c r="AO246" s="26" t="s">
        <v>361</v>
      </c>
      <c r="AP246" s="26" t="s">
        <v>361</v>
      </c>
      <c r="AQ246" s="26" t="s">
        <v>212</v>
      </c>
      <c r="AR246" s="26" t="s">
        <v>192</v>
      </c>
      <c r="AS246" s="26">
        <v>4</v>
      </c>
      <c r="AT246" s="26">
        <v>4</v>
      </c>
      <c r="AU246" s="26" t="s">
        <v>169</v>
      </c>
      <c r="AW246" s="26">
        <v>4038</v>
      </c>
      <c r="AX246" s="26">
        <v>9.9</v>
      </c>
      <c r="AY246" s="63"/>
      <c r="BD246" s="26">
        <v>8826</v>
      </c>
      <c r="BE246" s="26">
        <v>10843</v>
      </c>
      <c r="BM246" s="26">
        <f t="shared" si="43"/>
        <v>9.3512199999999996</v>
      </c>
      <c r="BN246" s="26">
        <v>25.21</v>
      </c>
      <c r="BO246" s="26" t="s">
        <v>392</v>
      </c>
      <c r="BR246" s="35" t="s">
        <v>393</v>
      </c>
      <c r="DC246" s="26">
        <v>115.77</v>
      </c>
      <c r="DD246" s="26">
        <v>49.82</v>
      </c>
      <c r="DE246" s="35" t="s">
        <v>364</v>
      </c>
      <c r="DO246" s="26">
        <v>190.68</v>
      </c>
      <c r="DP246" s="26">
        <v>54.77</v>
      </c>
      <c r="DQ246" s="26">
        <f t="shared" si="42"/>
        <v>153.03999999999996</v>
      </c>
      <c r="EJ246" s="12"/>
      <c r="EL246" s="15"/>
      <c r="FR246" s="35" t="s">
        <v>393</v>
      </c>
      <c r="FT246" s="26">
        <v>17</v>
      </c>
    </row>
    <row r="247" spans="1:176" s="26" customFormat="1" x14ac:dyDescent="0.25">
      <c r="A247" s="26">
        <v>17</v>
      </c>
      <c r="B247" s="26" t="s">
        <v>357</v>
      </c>
      <c r="C247" s="26" t="s">
        <v>358</v>
      </c>
      <c r="D247" s="26">
        <v>2016</v>
      </c>
      <c r="E247" s="26">
        <v>2012</v>
      </c>
      <c r="F247" s="35" t="s">
        <v>342</v>
      </c>
      <c r="G247" s="26" t="s">
        <v>359</v>
      </c>
      <c r="H247" s="26">
        <f t="shared" si="38"/>
        <v>40.716666666666669</v>
      </c>
      <c r="I247" s="26">
        <f t="shared" si="39"/>
        <v>-77.916666666666671</v>
      </c>
      <c r="J247" s="26">
        <v>350</v>
      </c>
      <c r="N247" s="26">
        <v>975</v>
      </c>
      <c r="P247" s="52">
        <v>2</v>
      </c>
      <c r="Q247" s="52"/>
      <c r="R247" s="52"/>
      <c r="S247" s="52" t="s">
        <v>1565</v>
      </c>
      <c r="T247" s="52" t="s">
        <v>1565</v>
      </c>
      <c r="U247" s="52" t="s">
        <v>1565</v>
      </c>
      <c r="V247" s="52" t="s">
        <v>1908</v>
      </c>
      <c r="Z247" s="26" t="s">
        <v>531</v>
      </c>
      <c r="AD247" s="26" t="s">
        <v>1482</v>
      </c>
      <c r="AE247" s="26" t="s">
        <v>1757</v>
      </c>
      <c r="AF247" s="152" t="s">
        <v>1288</v>
      </c>
      <c r="AG247" s="26" t="s">
        <v>160</v>
      </c>
      <c r="AH247" s="154" t="s">
        <v>1801</v>
      </c>
      <c r="AI247" s="26" t="s">
        <v>360</v>
      </c>
      <c r="AJ247" s="26" t="s">
        <v>360</v>
      </c>
      <c r="AK247" s="26" t="s">
        <v>212</v>
      </c>
      <c r="AO247" s="26" t="s">
        <v>361</v>
      </c>
      <c r="AP247" s="26" t="s">
        <v>361</v>
      </c>
      <c r="AQ247" s="26" t="s">
        <v>212</v>
      </c>
      <c r="AR247" s="26" t="s">
        <v>192</v>
      </c>
      <c r="AS247" s="26">
        <v>4</v>
      </c>
      <c r="AT247" s="26">
        <v>4</v>
      </c>
      <c r="AU247" s="26" t="s">
        <v>169</v>
      </c>
      <c r="AW247" s="26">
        <v>3122</v>
      </c>
      <c r="AX247" s="26">
        <v>15.1</v>
      </c>
      <c r="AY247" s="63"/>
      <c r="BD247" s="26">
        <v>8826</v>
      </c>
      <c r="BE247" s="26">
        <v>8793</v>
      </c>
      <c r="BM247" s="26">
        <f t="shared" si="43"/>
        <v>9.3512199999999996</v>
      </c>
      <c r="BN247" s="26">
        <v>6.79</v>
      </c>
      <c r="BO247" s="26" t="s">
        <v>392</v>
      </c>
      <c r="BR247" s="35" t="s">
        <v>393</v>
      </c>
      <c r="DC247" s="26">
        <v>115.77</v>
      </c>
      <c r="DD247" s="26">
        <v>45.38</v>
      </c>
      <c r="DE247" s="35" t="s">
        <v>364</v>
      </c>
      <c r="DO247" s="26">
        <v>190.68</v>
      </c>
      <c r="DP247" s="26">
        <v>25.553000000000001</v>
      </c>
      <c r="DQ247" s="26">
        <f t="shared" si="42"/>
        <v>153.03999999999996</v>
      </c>
      <c r="EJ247" s="12"/>
      <c r="EL247" s="15"/>
      <c r="FR247" s="35" t="s">
        <v>393</v>
      </c>
      <c r="FT247" s="26">
        <v>17</v>
      </c>
    </row>
    <row r="248" spans="1:176" s="26" customFormat="1" x14ac:dyDescent="0.25">
      <c r="A248" s="26">
        <v>17</v>
      </c>
      <c r="B248" s="26" t="s">
        <v>357</v>
      </c>
      <c r="C248" s="26" t="s">
        <v>358</v>
      </c>
      <c r="D248" s="26">
        <v>2016</v>
      </c>
      <c r="E248" s="26">
        <v>2012</v>
      </c>
      <c r="F248" s="35" t="s">
        <v>342</v>
      </c>
      <c r="G248" s="26" t="s">
        <v>359</v>
      </c>
      <c r="H248" s="26">
        <f t="shared" si="38"/>
        <v>40.716666666666669</v>
      </c>
      <c r="I248" s="26">
        <f t="shared" si="39"/>
        <v>-77.916666666666671</v>
      </c>
      <c r="J248" s="26">
        <v>350</v>
      </c>
      <c r="N248" s="26">
        <v>975</v>
      </c>
      <c r="P248" s="52">
        <v>2</v>
      </c>
      <c r="Q248" s="52"/>
      <c r="R248" s="52"/>
      <c r="S248" s="52" t="s">
        <v>1565</v>
      </c>
      <c r="T248" s="52" t="s">
        <v>1565</v>
      </c>
      <c r="U248" s="52" t="s">
        <v>1565</v>
      </c>
      <c r="V248" s="52" t="s">
        <v>1908</v>
      </c>
      <c r="Z248" s="26" t="s">
        <v>531</v>
      </c>
      <c r="AD248" s="26" t="s">
        <v>1482</v>
      </c>
      <c r="AE248" s="26" t="s">
        <v>607</v>
      </c>
      <c r="AF248" s="152" t="s">
        <v>1761</v>
      </c>
      <c r="AG248" s="26" t="s">
        <v>160</v>
      </c>
      <c r="AH248" s="154" t="s">
        <v>1801</v>
      </c>
      <c r="AI248" s="26" t="s">
        <v>360</v>
      </c>
      <c r="AJ248" s="26" t="s">
        <v>360</v>
      </c>
      <c r="AK248" s="26" t="s">
        <v>212</v>
      </c>
      <c r="AO248" s="26" t="s">
        <v>361</v>
      </c>
      <c r="AP248" s="26" t="s">
        <v>361</v>
      </c>
      <c r="AQ248" s="26" t="s">
        <v>212</v>
      </c>
      <c r="AR248" s="26" t="s">
        <v>192</v>
      </c>
      <c r="AS248" s="26">
        <v>4</v>
      </c>
      <c r="AT248" s="26">
        <v>4</v>
      </c>
      <c r="AU248" s="26" t="s">
        <v>169</v>
      </c>
      <c r="AW248" s="26">
        <v>2847</v>
      </c>
      <c r="AX248" s="26">
        <v>23</v>
      </c>
      <c r="AY248" s="63"/>
      <c r="BD248" s="26">
        <v>8826</v>
      </c>
      <c r="BE248" s="26">
        <v>7934</v>
      </c>
      <c r="BM248" s="26">
        <f t="shared" si="43"/>
        <v>9.3512199999999996</v>
      </c>
      <c r="BN248" s="26">
        <v>8.1</v>
      </c>
      <c r="BO248" s="26" t="s">
        <v>392</v>
      </c>
      <c r="BR248" s="35" t="s">
        <v>393</v>
      </c>
      <c r="DC248" s="26">
        <v>115.77</v>
      </c>
      <c r="DD248" s="26">
        <v>29</v>
      </c>
      <c r="DE248" s="35" t="s">
        <v>364</v>
      </c>
      <c r="DO248" s="26">
        <v>190.68</v>
      </c>
      <c r="DP248" s="26">
        <v>82.42</v>
      </c>
      <c r="DQ248" s="26">
        <f t="shared" si="42"/>
        <v>153.03999999999996</v>
      </c>
      <c r="EJ248" s="12"/>
      <c r="EL248" s="15"/>
      <c r="FR248" s="35" t="s">
        <v>393</v>
      </c>
      <c r="FT248" s="26">
        <v>17</v>
      </c>
    </row>
    <row r="249" spans="1:176" s="26" customFormat="1" x14ac:dyDescent="0.25">
      <c r="A249" s="26">
        <v>17</v>
      </c>
      <c r="B249" s="26" t="s">
        <v>357</v>
      </c>
      <c r="C249" s="26" t="s">
        <v>358</v>
      </c>
      <c r="D249" s="26">
        <v>2016</v>
      </c>
      <c r="E249" s="26">
        <v>2012</v>
      </c>
      <c r="F249" s="35" t="s">
        <v>342</v>
      </c>
      <c r="G249" s="26" t="s">
        <v>359</v>
      </c>
      <c r="H249" s="26">
        <f t="shared" si="38"/>
        <v>40.716666666666669</v>
      </c>
      <c r="I249" s="26">
        <f t="shared" si="39"/>
        <v>-77.916666666666671</v>
      </c>
      <c r="J249" s="26">
        <v>350</v>
      </c>
      <c r="N249" s="26">
        <v>975</v>
      </c>
      <c r="P249" s="52">
        <v>2</v>
      </c>
      <c r="Q249" s="52"/>
      <c r="R249" s="52"/>
      <c r="S249" s="52" t="s">
        <v>1565</v>
      </c>
      <c r="T249" s="52" t="s">
        <v>1565</v>
      </c>
      <c r="U249" s="52" t="s">
        <v>1565</v>
      </c>
      <c r="V249" s="52" t="s">
        <v>1908</v>
      </c>
      <c r="Z249" s="26" t="s">
        <v>531</v>
      </c>
      <c r="AD249" s="26" t="s">
        <v>1482</v>
      </c>
      <c r="AE249" s="26" t="s">
        <v>610</v>
      </c>
      <c r="AF249" s="152" t="s">
        <v>1288</v>
      </c>
      <c r="AG249" s="26" t="s">
        <v>160</v>
      </c>
      <c r="AH249" s="154" t="s">
        <v>1801</v>
      </c>
      <c r="AI249" s="26" t="s">
        <v>360</v>
      </c>
      <c r="AJ249" s="26" t="s">
        <v>360</v>
      </c>
      <c r="AK249" s="26" t="s">
        <v>212</v>
      </c>
      <c r="AO249" s="26" t="s">
        <v>361</v>
      </c>
      <c r="AP249" s="26" t="s">
        <v>361</v>
      </c>
      <c r="AQ249" s="26" t="s">
        <v>212</v>
      </c>
      <c r="AR249" s="26" t="s">
        <v>192</v>
      </c>
      <c r="AS249" s="26">
        <v>4</v>
      </c>
      <c r="AT249" s="26">
        <v>4</v>
      </c>
      <c r="AU249" s="26" t="s">
        <v>169</v>
      </c>
      <c r="AW249" s="26">
        <v>7842</v>
      </c>
      <c r="AX249" s="26">
        <v>24</v>
      </c>
      <c r="AY249" s="63"/>
      <c r="BD249" s="26">
        <v>8826</v>
      </c>
      <c r="BE249" s="26">
        <v>7074</v>
      </c>
      <c r="BM249" s="26">
        <f t="shared" si="43"/>
        <v>9.3512199999999996</v>
      </c>
      <c r="BN249" s="26">
        <v>7.89</v>
      </c>
      <c r="BO249" s="26" t="s">
        <v>392</v>
      </c>
      <c r="BR249" s="35" t="s">
        <v>393</v>
      </c>
      <c r="DC249" s="26">
        <v>115.77</v>
      </c>
      <c r="DD249" s="26">
        <v>15.72</v>
      </c>
      <c r="DE249" s="35" t="s">
        <v>364</v>
      </c>
      <c r="DO249" s="26">
        <v>190.68</v>
      </c>
      <c r="DP249" s="26">
        <v>24.5</v>
      </c>
      <c r="DQ249" s="26">
        <f t="shared" si="42"/>
        <v>153.03999999999996</v>
      </c>
      <c r="EJ249" s="12"/>
      <c r="EL249" s="15"/>
      <c r="FR249" s="35" t="s">
        <v>393</v>
      </c>
      <c r="FT249" s="26">
        <v>17</v>
      </c>
    </row>
    <row r="250" spans="1:176" s="26" customFormat="1" x14ac:dyDescent="0.25">
      <c r="A250" s="26">
        <v>17</v>
      </c>
      <c r="B250" s="26" t="s">
        <v>357</v>
      </c>
      <c r="C250" s="26" t="s">
        <v>358</v>
      </c>
      <c r="D250" s="26">
        <v>2016</v>
      </c>
      <c r="E250" s="26">
        <v>2012</v>
      </c>
      <c r="F250" s="35" t="s">
        <v>342</v>
      </c>
      <c r="G250" s="26" t="s">
        <v>359</v>
      </c>
      <c r="H250" s="26">
        <f t="shared" si="38"/>
        <v>40.716666666666669</v>
      </c>
      <c r="I250" s="26">
        <f t="shared" si="39"/>
        <v>-77.916666666666671</v>
      </c>
      <c r="J250" s="26">
        <v>350</v>
      </c>
      <c r="N250" s="26">
        <v>975</v>
      </c>
      <c r="P250" s="52">
        <v>2</v>
      </c>
      <c r="Q250" s="52"/>
      <c r="R250" s="52"/>
      <c r="S250" s="52" t="s">
        <v>1565</v>
      </c>
      <c r="T250" s="52" t="s">
        <v>1565</v>
      </c>
      <c r="U250" s="52" t="s">
        <v>1565</v>
      </c>
      <c r="V250" s="52" t="s">
        <v>1908</v>
      </c>
      <c r="Z250" s="26" t="s">
        <v>531</v>
      </c>
      <c r="AD250" s="26" t="s">
        <v>1482</v>
      </c>
      <c r="AE250" s="26" t="s">
        <v>159</v>
      </c>
      <c r="AF250" s="152" t="s">
        <v>159</v>
      </c>
      <c r="AG250" s="26" t="s">
        <v>160</v>
      </c>
      <c r="AH250" s="154" t="s">
        <v>1801</v>
      </c>
      <c r="AI250" s="26" t="s">
        <v>360</v>
      </c>
      <c r="AJ250" s="26" t="s">
        <v>360</v>
      </c>
      <c r="AK250" s="26" t="s">
        <v>212</v>
      </c>
      <c r="AO250" s="26" t="s">
        <v>361</v>
      </c>
      <c r="AP250" s="26" t="s">
        <v>361</v>
      </c>
      <c r="AQ250" s="26" t="s">
        <v>212</v>
      </c>
      <c r="AR250" s="26" t="s">
        <v>192</v>
      </c>
      <c r="AS250" s="26">
        <v>4</v>
      </c>
      <c r="AT250" s="26">
        <v>4</v>
      </c>
      <c r="AU250" s="26" t="s">
        <v>169</v>
      </c>
      <c r="AW250" s="26">
        <v>9675</v>
      </c>
      <c r="AX250" s="26">
        <v>46.2</v>
      </c>
      <c r="AY250" s="63"/>
      <c r="BD250" s="26">
        <v>8826</v>
      </c>
      <c r="BE250" s="26">
        <v>2578</v>
      </c>
      <c r="BM250" s="26">
        <f t="shared" si="43"/>
        <v>9.3512199999999996</v>
      </c>
      <c r="BN250" s="26">
        <v>1.88</v>
      </c>
      <c r="BO250" s="26" t="s">
        <v>392</v>
      </c>
      <c r="BR250" s="35" t="s">
        <v>393</v>
      </c>
      <c r="DC250" s="26">
        <v>115.77</v>
      </c>
      <c r="DD250" s="26">
        <v>10.39</v>
      </c>
      <c r="DE250" s="35" t="s">
        <v>364</v>
      </c>
      <c r="DO250" s="26">
        <v>190.68</v>
      </c>
      <c r="DP250" s="26">
        <v>24</v>
      </c>
      <c r="DQ250" s="26">
        <f t="shared" si="42"/>
        <v>153.03999999999996</v>
      </c>
      <c r="EJ250" s="12"/>
      <c r="EL250" s="15"/>
      <c r="FR250" s="35" t="s">
        <v>393</v>
      </c>
      <c r="FT250" s="26">
        <v>17</v>
      </c>
    </row>
    <row r="251" spans="1:176" s="26" customFormat="1" x14ac:dyDescent="0.25">
      <c r="A251" s="26">
        <v>17</v>
      </c>
      <c r="B251" s="26" t="s">
        <v>357</v>
      </c>
      <c r="C251" s="26" t="s">
        <v>358</v>
      </c>
      <c r="D251" s="26">
        <v>2016</v>
      </c>
      <c r="E251" s="26">
        <v>2012</v>
      </c>
      <c r="F251" s="35" t="s">
        <v>342</v>
      </c>
      <c r="G251" s="26" t="s">
        <v>359</v>
      </c>
      <c r="H251" s="26">
        <f t="shared" si="38"/>
        <v>40.716666666666669</v>
      </c>
      <c r="I251" s="26">
        <f t="shared" si="39"/>
        <v>-77.916666666666671</v>
      </c>
      <c r="J251" s="26">
        <v>350</v>
      </c>
      <c r="N251" s="26">
        <v>975</v>
      </c>
      <c r="P251" s="52">
        <v>2</v>
      </c>
      <c r="Q251" s="52"/>
      <c r="R251" s="52"/>
      <c r="S251" s="52" t="s">
        <v>1565</v>
      </c>
      <c r="T251" s="52" t="s">
        <v>1565</v>
      </c>
      <c r="U251" s="52" t="s">
        <v>1565</v>
      </c>
      <c r="V251" s="52" t="s">
        <v>1908</v>
      </c>
      <c r="Z251" s="26" t="s">
        <v>531</v>
      </c>
      <c r="AD251" s="26" t="s">
        <v>1482</v>
      </c>
      <c r="AE251" s="26" t="s">
        <v>1682</v>
      </c>
      <c r="AF251" s="152" t="s">
        <v>727</v>
      </c>
      <c r="AG251" s="26" t="s">
        <v>160</v>
      </c>
      <c r="AH251" s="154" t="s">
        <v>1801</v>
      </c>
      <c r="AI251" s="26" t="s">
        <v>360</v>
      </c>
      <c r="AJ251" s="26" t="s">
        <v>360</v>
      </c>
      <c r="AK251" s="26" t="s">
        <v>212</v>
      </c>
      <c r="AO251" s="26" t="s">
        <v>361</v>
      </c>
      <c r="AP251" s="26" t="s">
        <v>361</v>
      </c>
      <c r="AQ251" s="26" t="s">
        <v>212</v>
      </c>
      <c r="AR251" s="26" t="s">
        <v>192</v>
      </c>
      <c r="AS251" s="26">
        <v>4</v>
      </c>
      <c r="AT251" s="26">
        <v>4</v>
      </c>
      <c r="AU251" s="26" t="s">
        <v>169</v>
      </c>
      <c r="AW251" s="26">
        <v>2447</v>
      </c>
      <c r="AX251" s="26">
        <v>18.5</v>
      </c>
      <c r="AY251" s="63"/>
      <c r="BD251" s="26">
        <v>8826</v>
      </c>
      <c r="BE251" s="26">
        <v>8694</v>
      </c>
      <c r="BM251" s="26">
        <f t="shared" si="43"/>
        <v>9.3512199999999996</v>
      </c>
      <c r="BN251" s="26">
        <v>8.09</v>
      </c>
      <c r="BO251" s="26" t="s">
        <v>392</v>
      </c>
      <c r="BR251" s="35" t="s">
        <v>393</v>
      </c>
      <c r="DC251" s="26">
        <v>115.77</v>
      </c>
      <c r="DD251" s="26">
        <v>104.07</v>
      </c>
      <c r="DE251" s="35" t="s">
        <v>364</v>
      </c>
      <c r="DO251" s="26">
        <v>190.68</v>
      </c>
      <c r="DP251" s="26">
        <v>52.19</v>
      </c>
      <c r="DQ251" s="26">
        <f t="shared" si="42"/>
        <v>153.03999999999996</v>
      </c>
      <c r="EJ251" s="12"/>
      <c r="EL251" s="15"/>
      <c r="FR251" s="35" t="s">
        <v>393</v>
      </c>
      <c r="FT251" s="26">
        <v>17</v>
      </c>
    </row>
    <row r="252" spans="1:176" s="26" customFormat="1" x14ac:dyDescent="0.25">
      <c r="A252" s="26">
        <v>17</v>
      </c>
      <c r="B252" s="26" t="s">
        <v>357</v>
      </c>
      <c r="C252" s="26" t="s">
        <v>358</v>
      </c>
      <c r="D252" s="26">
        <v>2016</v>
      </c>
      <c r="E252" s="26">
        <v>2012</v>
      </c>
      <c r="F252" s="35" t="s">
        <v>342</v>
      </c>
      <c r="G252" s="26" t="s">
        <v>359</v>
      </c>
      <c r="H252" s="26">
        <f t="shared" si="38"/>
        <v>40.716666666666669</v>
      </c>
      <c r="I252" s="26">
        <f t="shared" si="39"/>
        <v>-77.916666666666671</v>
      </c>
      <c r="J252" s="26">
        <v>350</v>
      </c>
      <c r="N252" s="26">
        <v>975</v>
      </c>
      <c r="P252" s="52">
        <v>2</v>
      </c>
      <c r="Q252" s="52"/>
      <c r="R252" s="52"/>
      <c r="S252" s="52" t="s">
        <v>1565</v>
      </c>
      <c r="T252" s="52" t="s">
        <v>1565</v>
      </c>
      <c r="U252" s="52" t="s">
        <v>1565</v>
      </c>
      <c r="V252" s="52" t="s">
        <v>1908</v>
      </c>
      <c r="Z252" s="26" t="s">
        <v>531</v>
      </c>
      <c r="AD252" s="26" t="s">
        <v>1482</v>
      </c>
      <c r="AE252" s="26" t="s">
        <v>1683</v>
      </c>
      <c r="AF252" s="152" t="s">
        <v>727</v>
      </c>
      <c r="AG252" s="26" t="s">
        <v>160</v>
      </c>
      <c r="AH252" s="154" t="s">
        <v>1801</v>
      </c>
      <c r="AI252" s="26" t="s">
        <v>360</v>
      </c>
      <c r="AJ252" s="26" t="s">
        <v>360</v>
      </c>
      <c r="AK252" s="26" t="s">
        <v>212</v>
      </c>
      <c r="AO252" s="26" t="s">
        <v>361</v>
      </c>
      <c r="AP252" s="26" t="s">
        <v>361</v>
      </c>
      <c r="AQ252" s="26" t="s">
        <v>212</v>
      </c>
      <c r="AR252" s="26" t="s">
        <v>192</v>
      </c>
      <c r="AS252" s="26">
        <v>4</v>
      </c>
      <c r="AT252" s="26">
        <v>4</v>
      </c>
      <c r="AU252" s="26" t="s">
        <v>169</v>
      </c>
      <c r="AW252" s="26">
        <v>7425</v>
      </c>
      <c r="AX252" s="26">
        <v>40.799999999999997</v>
      </c>
      <c r="AY252" s="63"/>
      <c r="BD252" s="26">
        <v>8826</v>
      </c>
      <c r="BE252" s="26">
        <v>2876</v>
      </c>
      <c r="BM252" s="26">
        <f t="shared" si="43"/>
        <v>9.3512199999999996</v>
      </c>
      <c r="BN252" s="26">
        <v>2.48</v>
      </c>
      <c r="BO252" s="26" t="s">
        <v>392</v>
      </c>
      <c r="BR252" s="35" t="s">
        <v>393</v>
      </c>
      <c r="DC252" s="26">
        <v>115.77</v>
      </c>
      <c r="DD252" s="26">
        <v>9.9</v>
      </c>
      <c r="DE252" s="35" t="s">
        <v>364</v>
      </c>
      <c r="DO252" s="26">
        <v>190.68</v>
      </c>
      <c r="DP252" s="26">
        <v>14</v>
      </c>
      <c r="DQ252" s="26">
        <f t="shared" si="42"/>
        <v>153.03999999999996</v>
      </c>
      <c r="EJ252" s="12"/>
      <c r="EL252" s="15"/>
      <c r="FR252" s="35" t="s">
        <v>393</v>
      </c>
      <c r="FT252" s="26">
        <v>17</v>
      </c>
    </row>
    <row r="253" spans="1:176" s="26" customFormat="1" x14ac:dyDescent="0.25">
      <c r="A253" s="26">
        <v>17</v>
      </c>
      <c r="B253" s="26" t="s">
        <v>357</v>
      </c>
      <c r="C253" s="26" t="s">
        <v>358</v>
      </c>
      <c r="D253" s="26">
        <v>2016</v>
      </c>
      <c r="E253" s="26">
        <v>2012</v>
      </c>
      <c r="F253" s="35" t="s">
        <v>342</v>
      </c>
      <c r="G253" s="26" t="s">
        <v>359</v>
      </c>
      <c r="H253" s="26">
        <f t="shared" si="38"/>
        <v>40.716666666666669</v>
      </c>
      <c r="I253" s="26">
        <f t="shared" si="39"/>
        <v>-77.916666666666671</v>
      </c>
      <c r="J253" s="26">
        <v>350</v>
      </c>
      <c r="N253" s="26">
        <v>975</v>
      </c>
      <c r="P253" s="52">
        <v>2</v>
      </c>
      <c r="Q253" s="52"/>
      <c r="R253" s="52"/>
      <c r="S253" s="52" t="s">
        <v>1565</v>
      </c>
      <c r="T253" s="52" t="s">
        <v>1565</v>
      </c>
      <c r="U253" s="52" t="s">
        <v>1565</v>
      </c>
      <c r="V253" s="52" t="s">
        <v>1908</v>
      </c>
      <c r="Z253" s="26" t="s">
        <v>531</v>
      </c>
      <c r="AD253" s="26" t="s">
        <v>1482</v>
      </c>
      <c r="AE253" s="26" t="s">
        <v>1684</v>
      </c>
      <c r="AF253" s="152" t="s">
        <v>727</v>
      </c>
      <c r="AG253" s="26" t="s">
        <v>160</v>
      </c>
      <c r="AH253" s="154" t="s">
        <v>1801</v>
      </c>
      <c r="AI253" s="26" t="s">
        <v>360</v>
      </c>
      <c r="AJ253" s="26" t="s">
        <v>360</v>
      </c>
      <c r="AK253" s="26" t="s">
        <v>212</v>
      </c>
      <c r="AO253" s="26" t="s">
        <v>361</v>
      </c>
      <c r="AP253" s="26" t="s">
        <v>361</v>
      </c>
      <c r="AQ253" s="26" t="s">
        <v>212</v>
      </c>
      <c r="AR253" s="26" t="s">
        <v>192</v>
      </c>
      <c r="AS253" s="26">
        <v>4</v>
      </c>
      <c r="AT253" s="26">
        <v>4</v>
      </c>
      <c r="AU253" s="26" t="s">
        <v>169</v>
      </c>
      <c r="AW253" s="26">
        <v>6998</v>
      </c>
      <c r="AX253" s="26">
        <v>33.700000000000003</v>
      </c>
      <c r="AY253" s="63"/>
      <c r="BD253" s="26">
        <v>8826</v>
      </c>
      <c r="BE253" s="26">
        <v>3636</v>
      </c>
      <c r="BM253" s="26">
        <f t="shared" si="43"/>
        <v>9.3512199999999996</v>
      </c>
      <c r="BN253" s="26">
        <v>2.27</v>
      </c>
      <c r="BO253" s="26" t="s">
        <v>392</v>
      </c>
      <c r="BR253" s="35" t="s">
        <v>393</v>
      </c>
      <c r="DC253" s="26">
        <v>115.77</v>
      </c>
      <c r="DD253" s="26">
        <v>5.46</v>
      </c>
      <c r="DE253" s="35" t="s">
        <v>364</v>
      </c>
      <c r="DO253" s="26">
        <v>190.68</v>
      </c>
      <c r="DP253" s="26">
        <v>22</v>
      </c>
      <c r="DQ253" s="26">
        <f t="shared" si="42"/>
        <v>153.03999999999996</v>
      </c>
      <c r="EJ253" s="12"/>
      <c r="EL253" s="15"/>
      <c r="FR253" s="35" t="s">
        <v>393</v>
      </c>
      <c r="FT253" s="26">
        <v>17</v>
      </c>
    </row>
    <row r="254" spans="1:176" s="26" customFormat="1" x14ac:dyDescent="0.25">
      <c r="A254" s="26">
        <v>17</v>
      </c>
      <c r="B254" s="26" t="s">
        <v>357</v>
      </c>
      <c r="C254" s="26" t="s">
        <v>358</v>
      </c>
      <c r="D254" s="26">
        <v>2016</v>
      </c>
      <c r="E254" s="26">
        <v>2012</v>
      </c>
      <c r="F254" s="35" t="s">
        <v>342</v>
      </c>
      <c r="G254" s="26" t="s">
        <v>359</v>
      </c>
      <c r="H254" s="26">
        <f t="shared" si="38"/>
        <v>40.716666666666669</v>
      </c>
      <c r="I254" s="26">
        <f t="shared" si="39"/>
        <v>-77.916666666666671</v>
      </c>
      <c r="J254" s="26">
        <v>350</v>
      </c>
      <c r="N254" s="26">
        <v>975</v>
      </c>
      <c r="P254" s="52">
        <v>2</v>
      </c>
      <c r="Q254" s="52"/>
      <c r="R254" s="52"/>
      <c r="S254" s="52" t="s">
        <v>1565</v>
      </c>
      <c r="T254" s="52" t="s">
        <v>1565</v>
      </c>
      <c r="U254" s="52" t="s">
        <v>1565</v>
      </c>
      <c r="V254" s="52" t="s">
        <v>1908</v>
      </c>
      <c r="Z254" s="26" t="s">
        <v>531</v>
      </c>
      <c r="AD254" s="26" t="s">
        <v>1482</v>
      </c>
      <c r="AE254" s="26" t="s">
        <v>1685</v>
      </c>
      <c r="AF254" s="152" t="s">
        <v>727</v>
      </c>
      <c r="AG254" s="26" t="s">
        <v>160</v>
      </c>
      <c r="AH254" s="154" t="s">
        <v>1801</v>
      </c>
      <c r="AI254" s="26" t="s">
        <v>360</v>
      </c>
      <c r="AJ254" s="26" t="s">
        <v>360</v>
      </c>
      <c r="AK254" s="26" t="s">
        <v>212</v>
      </c>
      <c r="AO254" s="26" t="s">
        <v>361</v>
      </c>
      <c r="AP254" s="26" t="s">
        <v>361</v>
      </c>
      <c r="AQ254" s="26" t="s">
        <v>212</v>
      </c>
      <c r="AR254" s="26" t="s">
        <v>192</v>
      </c>
      <c r="AS254" s="26">
        <v>4</v>
      </c>
      <c r="AT254" s="26">
        <v>4</v>
      </c>
      <c r="AU254" s="26" t="s">
        <v>169</v>
      </c>
      <c r="AW254" s="26">
        <v>2814</v>
      </c>
      <c r="AX254" s="26">
        <v>18</v>
      </c>
      <c r="AY254" s="63"/>
      <c r="BD254" s="26">
        <v>8826</v>
      </c>
      <c r="BE254" s="26">
        <v>10248</v>
      </c>
      <c r="BM254" s="26">
        <f t="shared" si="43"/>
        <v>9.3512199999999996</v>
      </c>
      <c r="BN254" s="26">
        <v>8.99</v>
      </c>
      <c r="BO254" s="26" t="s">
        <v>392</v>
      </c>
      <c r="BR254" s="35" t="s">
        <v>393</v>
      </c>
      <c r="DC254" s="26">
        <v>115.77</v>
      </c>
      <c r="DD254" s="26">
        <v>45.21</v>
      </c>
      <c r="DE254" s="35" t="s">
        <v>364</v>
      </c>
      <c r="DO254" s="26">
        <v>190.68</v>
      </c>
      <c r="DP254" s="26">
        <v>69.8</v>
      </c>
      <c r="DQ254" s="26">
        <f t="shared" si="42"/>
        <v>153.03999999999996</v>
      </c>
      <c r="EJ254" s="12"/>
      <c r="EL254" s="15"/>
      <c r="FR254" s="35" t="s">
        <v>393</v>
      </c>
      <c r="FT254" s="26">
        <v>17</v>
      </c>
    </row>
    <row r="255" spans="1:176" s="26" customFormat="1" x14ac:dyDescent="0.25">
      <c r="A255" s="26">
        <v>17</v>
      </c>
      <c r="B255" s="26" t="s">
        <v>357</v>
      </c>
      <c r="C255" s="26" t="s">
        <v>358</v>
      </c>
      <c r="D255" s="26">
        <v>2016</v>
      </c>
      <c r="E255" s="26">
        <v>2012</v>
      </c>
      <c r="F255" s="35" t="s">
        <v>342</v>
      </c>
      <c r="G255" s="26" t="s">
        <v>359</v>
      </c>
      <c r="H255" s="26">
        <f t="shared" si="38"/>
        <v>40.716666666666669</v>
      </c>
      <c r="I255" s="26">
        <f t="shared" si="39"/>
        <v>-77.916666666666671</v>
      </c>
      <c r="J255" s="26">
        <v>350</v>
      </c>
      <c r="N255" s="26">
        <v>975</v>
      </c>
      <c r="P255" s="52">
        <v>2</v>
      </c>
      <c r="Q255" s="52"/>
      <c r="R255" s="52"/>
      <c r="S255" s="52" t="s">
        <v>1565</v>
      </c>
      <c r="T255" s="52" t="s">
        <v>1565</v>
      </c>
      <c r="U255" s="52" t="s">
        <v>1565</v>
      </c>
      <c r="V255" s="52" t="s">
        <v>1908</v>
      </c>
      <c r="Z255" s="26" t="s">
        <v>531</v>
      </c>
      <c r="AD255" s="26" t="s">
        <v>1482</v>
      </c>
      <c r="AE255" s="26" t="s">
        <v>1686</v>
      </c>
      <c r="AF255" s="152" t="s">
        <v>727</v>
      </c>
      <c r="AG255" s="26" t="s">
        <v>160</v>
      </c>
      <c r="AH255" s="154" t="s">
        <v>1801</v>
      </c>
      <c r="AI255" s="26" t="s">
        <v>360</v>
      </c>
      <c r="AJ255" s="26" t="s">
        <v>360</v>
      </c>
      <c r="AK255" s="26" t="s">
        <v>212</v>
      </c>
      <c r="AO255" s="26" t="s">
        <v>361</v>
      </c>
      <c r="AP255" s="26" t="s">
        <v>361</v>
      </c>
      <c r="AQ255" s="26" t="s">
        <v>212</v>
      </c>
      <c r="AR255" s="26" t="s">
        <v>192</v>
      </c>
      <c r="AS255" s="26">
        <v>4</v>
      </c>
      <c r="AT255" s="26">
        <v>4</v>
      </c>
      <c r="AU255" s="26" t="s">
        <v>169</v>
      </c>
      <c r="AW255" s="26">
        <v>9531</v>
      </c>
      <c r="AX255" s="26">
        <v>30.7</v>
      </c>
      <c r="AY255" s="63"/>
      <c r="BD255" s="26">
        <v>8826</v>
      </c>
      <c r="BE255" s="26">
        <v>6248</v>
      </c>
      <c r="BM255" s="26">
        <f t="shared" si="43"/>
        <v>9.3512199999999996</v>
      </c>
      <c r="BN255" s="26">
        <v>6.74</v>
      </c>
      <c r="BO255" s="26" t="s">
        <v>392</v>
      </c>
      <c r="BR255" s="35" t="s">
        <v>393</v>
      </c>
      <c r="DC255" s="26">
        <v>115.77</v>
      </c>
      <c r="DD255" s="26">
        <v>14.25</v>
      </c>
      <c r="DE255" s="35" t="s">
        <v>364</v>
      </c>
      <c r="DO255" s="26">
        <v>190.68</v>
      </c>
      <c r="DP255" s="26">
        <v>21.63</v>
      </c>
      <c r="DQ255" s="26">
        <f t="shared" si="42"/>
        <v>153.03999999999996</v>
      </c>
      <c r="EJ255" s="12"/>
      <c r="EL255" s="15"/>
      <c r="FR255" s="35" t="s">
        <v>393</v>
      </c>
      <c r="FT255" s="26">
        <v>17</v>
      </c>
    </row>
    <row r="256" spans="1:176" s="26" customFormat="1" x14ac:dyDescent="0.25">
      <c r="A256" s="26">
        <v>17</v>
      </c>
      <c r="B256" s="26" t="s">
        <v>357</v>
      </c>
      <c r="C256" s="26" t="s">
        <v>358</v>
      </c>
      <c r="D256" s="26">
        <v>2016</v>
      </c>
      <c r="E256" s="26">
        <v>2012</v>
      </c>
      <c r="F256" s="35" t="s">
        <v>342</v>
      </c>
      <c r="G256" s="26" t="s">
        <v>359</v>
      </c>
      <c r="H256" s="26">
        <f t="shared" si="38"/>
        <v>40.716666666666669</v>
      </c>
      <c r="I256" s="26">
        <f t="shared" si="39"/>
        <v>-77.916666666666671</v>
      </c>
      <c r="J256" s="26">
        <v>350</v>
      </c>
      <c r="N256" s="26">
        <v>975</v>
      </c>
      <c r="P256" s="52">
        <v>2</v>
      </c>
      <c r="Q256" s="52"/>
      <c r="R256" s="52"/>
      <c r="S256" s="52" t="s">
        <v>1565</v>
      </c>
      <c r="T256" s="52" t="s">
        <v>1565</v>
      </c>
      <c r="U256" s="52" t="s">
        <v>1565</v>
      </c>
      <c r="V256" s="52" t="s">
        <v>1908</v>
      </c>
      <c r="Z256" s="26" t="s">
        <v>531</v>
      </c>
      <c r="AD256" s="26" t="s">
        <v>1482</v>
      </c>
      <c r="AE256" s="26" t="s">
        <v>1687</v>
      </c>
      <c r="AF256" s="152" t="s">
        <v>727</v>
      </c>
      <c r="AG256" s="26" t="s">
        <v>160</v>
      </c>
      <c r="AH256" s="154" t="s">
        <v>1801</v>
      </c>
      <c r="AI256" s="26" t="s">
        <v>360</v>
      </c>
      <c r="AJ256" s="26" t="s">
        <v>360</v>
      </c>
      <c r="AK256" s="26" t="s">
        <v>212</v>
      </c>
      <c r="AO256" s="26" t="s">
        <v>361</v>
      </c>
      <c r="AP256" s="26" t="s">
        <v>361</v>
      </c>
      <c r="AQ256" s="26" t="s">
        <v>212</v>
      </c>
      <c r="AR256" s="26" t="s">
        <v>192</v>
      </c>
      <c r="AS256" s="26">
        <v>4</v>
      </c>
      <c r="AT256" s="26">
        <v>4</v>
      </c>
      <c r="AU256" s="26" t="s">
        <v>169</v>
      </c>
      <c r="AW256" s="26">
        <v>9194</v>
      </c>
      <c r="AX256" s="26">
        <v>40.200000000000003</v>
      </c>
      <c r="AY256" s="63"/>
      <c r="BD256" s="26">
        <v>8826</v>
      </c>
      <c r="BE256" s="26">
        <v>3273</v>
      </c>
      <c r="BM256" s="26">
        <f t="shared" si="43"/>
        <v>9.3512199999999996</v>
      </c>
      <c r="BN256" s="26">
        <v>3.17</v>
      </c>
      <c r="BO256" s="26" t="s">
        <v>392</v>
      </c>
      <c r="BR256" s="35" t="s">
        <v>393</v>
      </c>
      <c r="DC256" s="26">
        <v>115.77</v>
      </c>
      <c r="DD256" s="26">
        <v>13.79</v>
      </c>
      <c r="DE256" s="35" t="s">
        <v>364</v>
      </c>
      <c r="DO256" s="26">
        <v>190.68</v>
      </c>
      <c r="DP256" s="26">
        <v>11.57</v>
      </c>
      <c r="DQ256" s="26">
        <f t="shared" si="42"/>
        <v>153.03999999999996</v>
      </c>
      <c r="EJ256" s="12"/>
      <c r="EL256" s="15"/>
      <c r="FR256" s="35" t="s">
        <v>393</v>
      </c>
      <c r="FT256" s="26">
        <v>17</v>
      </c>
    </row>
    <row r="257" spans="1:176" s="26" customFormat="1" x14ac:dyDescent="0.25">
      <c r="A257" s="26">
        <v>17</v>
      </c>
      <c r="B257" s="26" t="s">
        <v>357</v>
      </c>
      <c r="C257" s="26" t="s">
        <v>358</v>
      </c>
      <c r="D257" s="26">
        <v>2016</v>
      </c>
      <c r="E257" s="26">
        <v>2012</v>
      </c>
      <c r="F257" s="35" t="s">
        <v>342</v>
      </c>
      <c r="G257" s="26" t="s">
        <v>359</v>
      </c>
      <c r="H257" s="26">
        <f t="shared" si="38"/>
        <v>40.716666666666669</v>
      </c>
      <c r="I257" s="26">
        <f t="shared" si="39"/>
        <v>-77.916666666666671</v>
      </c>
      <c r="J257" s="26">
        <v>350</v>
      </c>
      <c r="N257" s="26">
        <v>975</v>
      </c>
      <c r="P257" s="52">
        <v>2</v>
      </c>
      <c r="Q257" s="52"/>
      <c r="R257" s="52"/>
      <c r="S257" s="52" t="s">
        <v>1565</v>
      </c>
      <c r="T257" s="52" t="s">
        <v>1565</v>
      </c>
      <c r="U257" s="52" t="s">
        <v>1565</v>
      </c>
      <c r="V257" s="52" t="s">
        <v>1908</v>
      </c>
      <c r="Z257" s="26" t="s">
        <v>531</v>
      </c>
      <c r="AD257" s="26" t="s">
        <v>1482</v>
      </c>
      <c r="AE257" s="26" t="s">
        <v>1688</v>
      </c>
      <c r="AF257" s="152" t="s">
        <v>727</v>
      </c>
      <c r="AG257" s="26" t="s">
        <v>160</v>
      </c>
      <c r="AH257" s="154" t="s">
        <v>1801</v>
      </c>
      <c r="AI257" s="26" t="s">
        <v>360</v>
      </c>
      <c r="AJ257" s="26" t="s">
        <v>360</v>
      </c>
      <c r="AK257" s="26" t="s">
        <v>212</v>
      </c>
      <c r="AO257" s="26" t="s">
        <v>361</v>
      </c>
      <c r="AP257" s="26" t="s">
        <v>361</v>
      </c>
      <c r="AQ257" s="26" t="s">
        <v>212</v>
      </c>
      <c r="AR257" s="26" t="s">
        <v>192</v>
      </c>
      <c r="AS257" s="26">
        <v>4</v>
      </c>
      <c r="AT257" s="26">
        <v>4</v>
      </c>
      <c r="AU257" s="26" t="s">
        <v>169</v>
      </c>
      <c r="AW257" s="26">
        <v>3801</v>
      </c>
      <c r="AX257" s="26">
        <v>17.600000000000001</v>
      </c>
      <c r="AY257" s="63"/>
      <c r="BD257" s="26">
        <v>8826</v>
      </c>
      <c r="BE257" s="26">
        <v>10182</v>
      </c>
      <c r="BM257" s="26">
        <f t="shared" si="43"/>
        <v>9.3512199999999996</v>
      </c>
      <c r="BN257" s="26">
        <v>7.95</v>
      </c>
      <c r="BO257" s="26" t="s">
        <v>392</v>
      </c>
      <c r="BR257" s="35" t="s">
        <v>393</v>
      </c>
      <c r="DC257" s="26">
        <v>115.77</v>
      </c>
      <c r="DD257" s="26">
        <v>22.6</v>
      </c>
      <c r="DE257" s="35" t="s">
        <v>364</v>
      </c>
      <c r="DO257" s="26">
        <v>190.68</v>
      </c>
      <c r="DP257" s="26">
        <v>10</v>
      </c>
      <c r="DQ257" s="26">
        <f t="shared" si="42"/>
        <v>153.03999999999996</v>
      </c>
      <c r="EJ257" s="12"/>
      <c r="EL257" s="15"/>
      <c r="FR257" s="35" t="s">
        <v>393</v>
      </c>
      <c r="FT257" s="26">
        <v>17</v>
      </c>
    </row>
    <row r="258" spans="1:176" s="26" customFormat="1" x14ac:dyDescent="0.25">
      <c r="A258" s="26">
        <v>17</v>
      </c>
      <c r="B258" s="26" t="s">
        <v>357</v>
      </c>
      <c r="C258" s="26" t="s">
        <v>358</v>
      </c>
      <c r="D258" s="26">
        <v>2016</v>
      </c>
      <c r="E258" s="26">
        <v>2012</v>
      </c>
      <c r="F258" s="35" t="s">
        <v>342</v>
      </c>
      <c r="G258" s="26" t="s">
        <v>359</v>
      </c>
      <c r="H258" s="26">
        <f t="shared" si="38"/>
        <v>40.716666666666669</v>
      </c>
      <c r="I258" s="26">
        <f t="shared" si="39"/>
        <v>-77.916666666666671</v>
      </c>
      <c r="J258" s="26">
        <v>350</v>
      </c>
      <c r="N258" s="26">
        <v>975</v>
      </c>
      <c r="P258" s="52">
        <v>2</v>
      </c>
      <c r="Q258" s="52"/>
      <c r="R258" s="52"/>
      <c r="S258" s="52" t="s">
        <v>1565</v>
      </c>
      <c r="T258" s="52" t="s">
        <v>1565</v>
      </c>
      <c r="U258" s="52" t="s">
        <v>1565</v>
      </c>
      <c r="V258" s="52" t="s">
        <v>1908</v>
      </c>
      <c r="Z258" s="26" t="s">
        <v>531</v>
      </c>
      <c r="AD258" s="26" t="s">
        <v>1482</v>
      </c>
      <c r="AE258" s="26" t="s">
        <v>362</v>
      </c>
      <c r="AF258" s="152" t="s">
        <v>727</v>
      </c>
      <c r="AG258" s="26" t="s">
        <v>160</v>
      </c>
      <c r="AH258" s="154" t="s">
        <v>1801</v>
      </c>
      <c r="AI258" s="26" t="s">
        <v>360</v>
      </c>
      <c r="AJ258" s="26" t="s">
        <v>360</v>
      </c>
      <c r="AK258" s="26" t="s">
        <v>212</v>
      </c>
      <c r="AO258" s="26" t="s">
        <v>361</v>
      </c>
      <c r="AP258" s="26" t="s">
        <v>361</v>
      </c>
      <c r="AQ258" s="26" t="s">
        <v>212</v>
      </c>
      <c r="AR258" s="26" t="s">
        <v>192</v>
      </c>
      <c r="AS258" s="26">
        <v>4</v>
      </c>
      <c r="AT258" s="26">
        <v>4</v>
      </c>
      <c r="AU258" s="26" t="s">
        <v>169</v>
      </c>
      <c r="AW258" s="26">
        <v>8095</v>
      </c>
      <c r="AX258" s="26">
        <v>29.8</v>
      </c>
      <c r="AY258" s="63"/>
      <c r="BD258" s="26">
        <v>8826</v>
      </c>
      <c r="BE258" s="26">
        <v>6017</v>
      </c>
      <c r="BM258" s="26">
        <f t="shared" si="43"/>
        <v>9.3512199999999996</v>
      </c>
      <c r="BN258" s="26">
        <v>5.61</v>
      </c>
      <c r="BO258" s="26" t="s">
        <v>392</v>
      </c>
      <c r="BR258" s="35" t="s">
        <v>393</v>
      </c>
      <c r="DC258" s="26">
        <v>115.77</v>
      </c>
      <c r="DD258" s="26">
        <v>15.06</v>
      </c>
      <c r="DE258" s="35" t="s">
        <v>364</v>
      </c>
      <c r="DO258" s="26">
        <v>190.68</v>
      </c>
      <c r="DP258" s="26">
        <v>10</v>
      </c>
      <c r="DQ258" s="26">
        <f t="shared" si="42"/>
        <v>153.03999999999996</v>
      </c>
      <c r="EJ258" s="12"/>
      <c r="EL258" s="15"/>
      <c r="FR258" s="35" t="s">
        <v>393</v>
      </c>
      <c r="FT258" s="26">
        <v>17</v>
      </c>
    </row>
    <row r="259" spans="1:176" s="26" customFormat="1" x14ac:dyDescent="0.25">
      <c r="A259" s="26">
        <v>17</v>
      </c>
      <c r="B259" s="26" t="s">
        <v>357</v>
      </c>
      <c r="C259" s="26" t="s">
        <v>358</v>
      </c>
      <c r="D259" s="26">
        <v>2016</v>
      </c>
      <c r="E259" s="26">
        <v>2012</v>
      </c>
      <c r="F259" s="35" t="s">
        <v>342</v>
      </c>
      <c r="G259" s="26" t="s">
        <v>359</v>
      </c>
      <c r="H259" s="26">
        <f t="shared" si="38"/>
        <v>40.716666666666669</v>
      </c>
      <c r="I259" s="26">
        <f t="shared" si="39"/>
        <v>-77.916666666666671</v>
      </c>
      <c r="J259" s="26">
        <v>350</v>
      </c>
      <c r="N259" s="26">
        <v>975</v>
      </c>
      <c r="P259" s="52">
        <v>2</v>
      </c>
      <c r="Q259" s="52"/>
      <c r="R259" s="52"/>
      <c r="S259" s="52" t="s">
        <v>1565</v>
      </c>
      <c r="T259" s="52" t="s">
        <v>1565</v>
      </c>
      <c r="U259" s="52" t="s">
        <v>1565</v>
      </c>
      <c r="V259" s="52" t="s">
        <v>1908</v>
      </c>
      <c r="Z259" s="26" t="s">
        <v>531</v>
      </c>
      <c r="AD259" s="26" t="s">
        <v>1482</v>
      </c>
      <c r="AE259" s="26" t="s">
        <v>363</v>
      </c>
      <c r="AF259" s="152" t="s">
        <v>727</v>
      </c>
      <c r="AG259" s="26" t="s">
        <v>160</v>
      </c>
      <c r="AH259" s="154" t="s">
        <v>1801</v>
      </c>
      <c r="AI259" s="26" t="s">
        <v>360</v>
      </c>
      <c r="AJ259" s="26" t="s">
        <v>360</v>
      </c>
      <c r="AK259" s="26" t="s">
        <v>212</v>
      </c>
      <c r="AO259" s="26" t="s">
        <v>361</v>
      </c>
      <c r="AP259" s="26" t="s">
        <v>361</v>
      </c>
      <c r="AQ259" s="26" t="s">
        <v>212</v>
      </c>
      <c r="AR259" s="26" t="s">
        <v>192</v>
      </c>
      <c r="AS259" s="26">
        <v>4</v>
      </c>
      <c r="AT259" s="26">
        <v>4</v>
      </c>
      <c r="AU259" s="26" t="s">
        <v>169</v>
      </c>
      <c r="AW259" s="26">
        <v>6972</v>
      </c>
      <c r="AX259" s="26">
        <v>35.4</v>
      </c>
      <c r="AY259" s="63"/>
      <c r="BD259" s="26">
        <v>8826</v>
      </c>
      <c r="BE259" s="26">
        <v>3140</v>
      </c>
      <c r="BM259" s="26">
        <f t="shared" si="43"/>
        <v>9.3512199999999996</v>
      </c>
      <c r="BN259" s="26">
        <v>2.04</v>
      </c>
      <c r="BO259" s="26" t="s">
        <v>392</v>
      </c>
      <c r="BR259" s="35" t="s">
        <v>393</v>
      </c>
      <c r="DC259" s="26">
        <v>115.77</v>
      </c>
      <c r="DD259" s="26">
        <v>9.2899999999999991</v>
      </c>
      <c r="DE259" s="35" t="s">
        <v>364</v>
      </c>
      <c r="DO259" s="26">
        <v>190.68</v>
      </c>
      <c r="DP259" s="26">
        <v>10</v>
      </c>
      <c r="DQ259" s="26">
        <f t="shared" si="42"/>
        <v>153.03999999999996</v>
      </c>
      <c r="EJ259" s="12"/>
      <c r="EL259" s="15"/>
      <c r="FR259" s="35" t="s">
        <v>393</v>
      </c>
      <c r="FT259" s="26">
        <v>17</v>
      </c>
    </row>
    <row r="260" spans="1:176" s="38" customFormat="1" x14ac:dyDescent="0.25">
      <c r="A260" s="38">
        <v>18</v>
      </c>
      <c r="B260" s="38" t="s">
        <v>357</v>
      </c>
      <c r="C260" s="38" t="s">
        <v>358</v>
      </c>
      <c r="D260" s="38">
        <v>2017</v>
      </c>
      <c r="E260" s="38">
        <v>2011</v>
      </c>
      <c r="F260" s="40" t="s">
        <v>371</v>
      </c>
      <c r="G260" s="38" t="s">
        <v>359</v>
      </c>
      <c r="H260" s="38">
        <v>40.716666666666669</v>
      </c>
      <c r="I260" s="38">
        <v>-77.916666666666671</v>
      </c>
      <c r="J260" s="38">
        <v>350</v>
      </c>
      <c r="N260" s="38">
        <v>975</v>
      </c>
      <c r="P260" s="57">
        <v>1</v>
      </c>
      <c r="Q260" s="57"/>
      <c r="R260" s="57" t="s">
        <v>372</v>
      </c>
      <c r="S260" s="57" t="s">
        <v>1565</v>
      </c>
      <c r="T260" s="57" t="s">
        <v>1565</v>
      </c>
      <c r="U260" s="57" t="s">
        <v>1565</v>
      </c>
      <c r="V260" s="57" t="s">
        <v>1908</v>
      </c>
      <c r="Z260" s="38" t="s">
        <v>531</v>
      </c>
      <c r="AD260" s="38" t="s">
        <v>1482</v>
      </c>
      <c r="AE260" s="38" t="s">
        <v>1710</v>
      </c>
      <c r="AF260" s="152" t="s">
        <v>666</v>
      </c>
      <c r="AG260" s="38" t="s">
        <v>160</v>
      </c>
      <c r="AH260" s="155" t="s">
        <v>1801</v>
      </c>
      <c r="AI260" s="38" t="s">
        <v>360</v>
      </c>
      <c r="AJ260" s="38" t="s">
        <v>360</v>
      </c>
      <c r="AK260" s="38" t="s">
        <v>212</v>
      </c>
      <c r="AO260" s="38" t="s">
        <v>361</v>
      </c>
      <c r="AP260" s="38" t="s">
        <v>361</v>
      </c>
      <c r="AQ260" s="38" t="s">
        <v>212</v>
      </c>
      <c r="AR260" s="38" t="s">
        <v>192</v>
      </c>
      <c r="AS260" s="38">
        <v>4</v>
      </c>
      <c r="AT260" s="38">
        <v>4</v>
      </c>
      <c r="AU260" s="38" t="s">
        <v>169</v>
      </c>
      <c r="AW260" s="38">
        <v>61</v>
      </c>
      <c r="AX260" s="38">
        <v>9.3000000000000007</v>
      </c>
      <c r="AY260" s="64"/>
      <c r="EG260" s="38">
        <v>69.540000000000006</v>
      </c>
      <c r="EH260" s="38">
        <v>73.88</v>
      </c>
      <c r="EI260" s="38" t="s">
        <v>1890</v>
      </c>
      <c r="EY260" s="38">
        <v>8.06</v>
      </c>
      <c r="EZ260" s="38">
        <v>8.59</v>
      </c>
      <c r="FR260" s="38" t="s">
        <v>374</v>
      </c>
      <c r="FT260" s="38">
        <v>18</v>
      </c>
    </row>
    <row r="261" spans="1:176" s="38" customFormat="1" x14ac:dyDescent="0.25">
      <c r="A261" s="38">
        <v>18</v>
      </c>
      <c r="B261" s="38" t="s">
        <v>357</v>
      </c>
      <c r="C261" s="38" t="s">
        <v>358</v>
      </c>
      <c r="D261" s="38">
        <v>2017</v>
      </c>
      <c r="E261" s="38">
        <v>2011</v>
      </c>
      <c r="F261" s="40" t="s">
        <v>371</v>
      </c>
      <c r="G261" s="38" t="s">
        <v>359</v>
      </c>
      <c r="H261" s="38">
        <v>40.716666666666669</v>
      </c>
      <c r="I261" s="38">
        <v>-77.916666666666671</v>
      </c>
      <c r="J261" s="38">
        <v>350</v>
      </c>
      <c r="N261" s="38">
        <v>975</v>
      </c>
      <c r="P261" s="57">
        <v>1</v>
      </c>
      <c r="Q261" s="57"/>
      <c r="R261" s="57" t="s">
        <v>372</v>
      </c>
      <c r="S261" s="57" t="s">
        <v>1565</v>
      </c>
      <c r="T261" s="57" t="s">
        <v>1565</v>
      </c>
      <c r="U261" s="57" t="s">
        <v>1565</v>
      </c>
      <c r="V261" s="57" t="s">
        <v>1908</v>
      </c>
      <c r="Z261" s="38" t="s">
        <v>531</v>
      </c>
      <c r="AD261" s="38" t="s">
        <v>1482</v>
      </c>
      <c r="AE261" s="38" t="s">
        <v>1312</v>
      </c>
      <c r="AF261" s="152" t="s">
        <v>666</v>
      </c>
      <c r="AG261" s="38" t="s">
        <v>160</v>
      </c>
      <c r="AH261" s="155" t="s">
        <v>1801</v>
      </c>
      <c r="AI261" s="38" t="s">
        <v>360</v>
      </c>
      <c r="AJ261" s="38" t="s">
        <v>360</v>
      </c>
      <c r="AK261" s="38" t="s">
        <v>212</v>
      </c>
      <c r="AO261" s="38" t="s">
        <v>361</v>
      </c>
      <c r="AP261" s="38" t="s">
        <v>361</v>
      </c>
      <c r="AQ261" s="38" t="s">
        <v>212</v>
      </c>
      <c r="AR261" s="38" t="s">
        <v>192</v>
      </c>
      <c r="AS261" s="38">
        <v>4</v>
      </c>
      <c r="AT261" s="38">
        <v>4</v>
      </c>
      <c r="AU261" s="38" t="s">
        <v>169</v>
      </c>
      <c r="AW261" s="38">
        <v>418</v>
      </c>
      <c r="AX261" s="38">
        <v>9.5</v>
      </c>
      <c r="AY261" s="64"/>
      <c r="EG261" s="38">
        <v>69.540000000000006</v>
      </c>
      <c r="EH261" s="38">
        <v>72.73</v>
      </c>
      <c r="EI261" s="38" t="s">
        <v>1890</v>
      </c>
      <c r="EY261" s="38">
        <v>8.06</v>
      </c>
      <c r="EZ261" s="38">
        <v>9.2200000000000006</v>
      </c>
      <c r="FR261" s="38" t="s">
        <v>374</v>
      </c>
      <c r="FT261" s="38">
        <v>18</v>
      </c>
    </row>
    <row r="262" spans="1:176" s="38" customFormat="1" x14ac:dyDescent="0.25">
      <c r="A262" s="38">
        <v>18</v>
      </c>
      <c r="B262" s="38" t="s">
        <v>357</v>
      </c>
      <c r="C262" s="38" t="s">
        <v>358</v>
      </c>
      <c r="D262" s="38">
        <v>2017</v>
      </c>
      <c r="E262" s="38">
        <v>2011</v>
      </c>
      <c r="F262" s="40" t="s">
        <v>371</v>
      </c>
      <c r="G262" s="38" t="s">
        <v>359</v>
      </c>
      <c r="H262" s="38">
        <v>40.716666666666669</v>
      </c>
      <c r="I262" s="38">
        <v>-77.916666666666671</v>
      </c>
      <c r="J262" s="38">
        <v>350</v>
      </c>
      <c r="N262" s="38">
        <v>975</v>
      </c>
      <c r="P262" s="57">
        <v>1</v>
      </c>
      <c r="Q262" s="57"/>
      <c r="R262" s="57" t="s">
        <v>372</v>
      </c>
      <c r="S262" s="57" t="s">
        <v>1565</v>
      </c>
      <c r="T262" s="57" t="s">
        <v>1565</v>
      </c>
      <c r="U262" s="57" t="s">
        <v>1565</v>
      </c>
      <c r="V262" s="57" t="s">
        <v>1908</v>
      </c>
      <c r="Z262" s="38" t="s">
        <v>531</v>
      </c>
      <c r="AD262" s="38" t="s">
        <v>1482</v>
      </c>
      <c r="AE262" s="38" t="s">
        <v>1711</v>
      </c>
      <c r="AF262" s="152" t="s">
        <v>666</v>
      </c>
      <c r="AG262" s="38" t="s">
        <v>160</v>
      </c>
      <c r="AH262" s="155" t="s">
        <v>1801</v>
      </c>
      <c r="AI262" s="38" t="s">
        <v>360</v>
      </c>
      <c r="AJ262" s="38" t="s">
        <v>360</v>
      </c>
      <c r="AK262" s="38" t="s">
        <v>212</v>
      </c>
      <c r="AO262" s="38" t="s">
        <v>361</v>
      </c>
      <c r="AP262" s="38" t="s">
        <v>361</v>
      </c>
      <c r="AQ262" s="38" t="s">
        <v>212</v>
      </c>
      <c r="AR262" s="38" t="s">
        <v>192</v>
      </c>
      <c r="AS262" s="38">
        <v>4</v>
      </c>
      <c r="AT262" s="38">
        <v>4</v>
      </c>
      <c r="AU262" s="38" t="s">
        <v>169</v>
      </c>
      <c r="AW262" s="38">
        <v>4045</v>
      </c>
      <c r="AX262" s="38">
        <v>10.3</v>
      </c>
      <c r="AY262" s="64"/>
      <c r="EG262" s="38">
        <v>69.540000000000006</v>
      </c>
      <c r="EH262" s="38">
        <v>69.34</v>
      </c>
      <c r="EI262" s="38" t="s">
        <v>1890</v>
      </c>
      <c r="EY262" s="38">
        <v>8.06</v>
      </c>
      <c r="EZ262" s="38">
        <v>8.67</v>
      </c>
      <c r="FR262" s="38" t="s">
        <v>374</v>
      </c>
      <c r="FT262" s="38">
        <v>18</v>
      </c>
    </row>
    <row r="263" spans="1:176" s="38" customFormat="1" x14ac:dyDescent="0.25">
      <c r="A263" s="38">
        <v>18</v>
      </c>
      <c r="B263" s="38" t="s">
        <v>357</v>
      </c>
      <c r="C263" s="38" t="s">
        <v>358</v>
      </c>
      <c r="D263" s="38">
        <v>2017</v>
      </c>
      <c r="E263" s="38">
        <v>2011</v>
      </c>
      <c r="F263" s="40" t="s">
        <v>371</v>
      </c>
      <c r="G263" s="38" t="s">
        <v>359</v>
      </c>
      <c r="H263" s="38">
        <v>40.716666666666669</v>
      </c>
      <c r="I263" s="38">
        <v>-77.916666666666671</v>
      </c>
      <c r="J263" s="38">
        <v>350</v>
      </c>
      <c r="N263" s="38">
        <v>975</v>
      </c>
      <c r="P263" s="57">
        <v>1</v>
      </c>
      <c r="Q263" s="57"/>
      <c r="R263" s="57" t="s">
        <v>372</v>
      </c>
      <c r="S263" s="57" t="s">
        <v>1565</v>
      </c>
      <c r="T263" s="57" t="s">
        <v>1565</v>
      </c>
      <c r="U263" s="57" t="s">
        <v>1565</v>
      </c>
      <c r="V263" s="57" t="s">
        <v>1908</v>
      </c>
      <c r="Z263" s="38" t="s">
        <v>531</v>
      </c>
      <c r="AD263" s="38" t="s">
        <v>1482</v>
      </c>
      <c r="AE263" s="38" t="s">
        <v>281</v>
      </c>
      <c r="AF263" s="152" t="s">
        <v>666</v>
      </c>
      <c r="AG263" s="38" t="s">
        <v>160</v>
      </c>
      <c r="AH263" s="155" t="s">
        <v>1801</v>
      </c>
      <c r="AI263" s="38" t="s">
        <v>360</v>
      </c>
      <c r="AJ263" s="38" t="s">
        <v>360</v>
      </c>
      <c r="AK263" s="38" t="s">
        <v>212</v>
      </c>
      <c r="AO263" s="38" t="s">
        <v>361</v>
      </c>
      <c r="AP263" s="38" t="s">
        <v>361</v>
      </c>
      <c r="AQ263" s="38" t="s">
        <v>212</v>
      </c>
      <c r="AR263" s="38" t="s">
        <v>192</v>
      </c>
      <c r="AS263" s="38">
        <v>4</v>
      </c>
      <c r="AT263" s="38">
        <v>4</v>
      </c>
      <c r="AU263" s="38" t="s">
        <v>169</v>
      </c>
      <c r="AW263" s="38">
        <v>4531</v>
      </c>
      <c r="AX263" s="38">
        <v>9</v>
      </c>
      <c r="AY263" s="64"/>
      <c r="EG263" s="38">
        <v>69.540000000000006</v>
      </c>
      <c r="EH263" s="38">
        <v>76.900000000000006</v>
      </c>
      <c r="EI263" s="38" t="s">
        <v>1890</v>
      </c>
      <c r="EY263" s="38">
        <v>8.06</v>
      </c>
      <c r="EZ263" s="38">
        <v>9.73</v>
      </c>
      <c r="FR263" s="38" t="s">
        <v>374</v>
      </c>
      <c r="FT263" s="38">
        <v>18</v>
      </c>
    </row>
    <row r="264" spans="1:176" s="38" customFormat="1" x14ac:dyDescent="0.25">
      <c r="A264" s="38">
        <v>18</v>
      </c>
      <c r="B264" s="38" t="s">
        <v>357</v>
      </c>
      <c r="C264" s="38" t="s">
        <v>358</v>
      </c>
      <c r="D264" s="38">
        <v>2017</v>
      </c>
      <c r="E264" s="38">
        <v>2011</v>
      </c>
      <c r="F264" s="40" t="s">
        <v>371</v>
      </c>
      <c r="G264" s="38" t="s">
        <v>359</v>
      </c>
      <c r="H264" s="38">
        <v>40.716666666666669</v>
      </c>
      <c r="I264" s="38">
        <v>-77.916666666666671</v>
      </c>
      <c r="J264" s="38">
        <v>350</v>
      </c>
      <c r="N264" s="38">
        <v>975</v>
      </c>
      <c r="P264" s="57">
        <v>1</v>
      </c>
      <c r="Q264" s="57"/>
      <c r="R264" s="57" t="s">
        <v>372</v>
      </c>
      <c r="S264" s="57" t="s">
        <v>1565</v>
      </c>
      <c r="T264" s="57" t="s">
        <v>1565</v>
      </c>
      <c r="U264" s="57" t="s">
        <v>1565</v>
      </c>
      <c r="V264" s="57" t="s">
        <v>1908</v>
      </c>
      <c r="Z264" s="38" t="s">
        <v>531</v>
      </c>
      <c r="AD264" s="38" t="s">
        <v>1482</v>
      </c>
      <c r="AE264" s="38" t="s">
        <v>1757</v>
      </c>
      <c r="AF264" s="152" t="s">
        <v>1288</v>
      </c>
      <c r="AG264" s="38" t="s">
        <v>160</v>
      </c>
      <c r="AH264" s="155" t="s">
        <v>1801</v>
      </c>
      <c r="AI264" s="38" t="s">
        <v>360</v>
      </c>
      <c r="AJ264" s="38" t="s">
        <v>360</v>
      </c>
      <c r="AK264" s="38" t="s">
        <v>212</v>
      </c>
      <c r="AO264" s="38" t="s">
        <v>361</v>
      </c>
      <c r="AP264" s="38" t="s">
        <v>361</v>
      </c>
      <c r="AQ264" s="38" t="s">
        <v>212</v>
      </c>
      <c r="AR264" s="38" t="s">
        <v>192</v>
      </c>
      <c r="AS264" s="38">
        <v>4</v>
      </c>
      <c r="AT264" s="38">
        <v>4</v>
      </c>
      <c r="AU264" s="38" t="s">
        <v>169</v>
      </c>
      <c r="AW264" s="38">
        <v>1381</v>
      </c>
      <c r="AX264" s="38">
        <v>15.7</v>
      </c>
      <c r="AY264" s="64"/>
      <c r="EG264" s="38">
        <v>69.540000000000006</v>
      </c>
      <c r="EH264" s="38">
        <v>73.55</v>
      </c>
      <c r="EI264" s="38" t="s">
        <v>1890</v>
      </c>
      <c r="EY264" s="38">
        <v>8.06</v>
      </c>
      <c r="EZ264" s="38">
        <v>10.210000000000001</v>
      </c>
      <c r="FR264" s="38" t="s">
        <v>374</v>
      </c>
      <c r="FT264" s="38">
        <v>18</v>
      </c>
    </row>
    <row r="265" spans="1:176" s="38" customFormat="1" x14ac:dyDescent="0.25">
      <c r="A265" s="38">
        <v>18</v>
      </c>
      <c r="B265" s="38" t="s">
        <v>357</v>
      </c>
      <c r="C265" s="38" t="s">
        <v>358</v>
      </c>
      <c r="D265" s="38">
        <v>2017</v>
      </c>
      <c r="E265" s="38">
        <v>2011</v>
      </c>
      <c r="F265" s="40" t="s">
        <v>371</v>
      </c>
      <c r="G265" s="38" t="s">
        <v>359</v>
      </c>
      <c r="H265" s="38">
        <v>40.716666666666669</v>
      </c>
      <c r="I265" s="38">
        <v>-77.916666666666671</v>
      </c>
      <c r="J265" s="38">
        <v>350</v>
      </c>
      <c r="N265" s="38">
        <v>975</v>
      </c>
      <c r="P265" s="57">
        <v>1</v>
      </c>
      <c r="Q265" s="57"/>
      <c r="R265" s="57" t="s">
        <v>372</v>
      </c>
      <c r="S265" s="57" t="s">
        <v>1565</v>
      </c>
      <c r="T265" s="57" t="s">
        <v>1565</v>
      </c>
      <c r="U265" s="57" t="s">
        <v>1565</v>
      </c>
      <c r="V265" s="57" t="s">
        <v>1908</v>
      </c>
      <c r="Z265" s="38" t="s">
        <v>531</v>
      </c>
      <c r="AD265" s="38" t="s">
        <v>1482</v>
      </c>
      <c r="AE265" s="38" t="s">
        <v>607</v>
      </c>
      <c r="AF265" s="152" t="s">
        <v>1761</v>
      </c>
      <c r="AG265" s="38" t="s">
        <v>160</v>
      </c>
      <c r="AH265" s="155" t="s">
        <v>1801</v>
      </c>
      <c r="AI265" s="38" t="s">
        <v>360</v>
      </c>
      <c r="AJ265" s="38" t="s">
        <v>360</v>
      </c>
      <c r="AK265" s="38" t="s">
        <v>212</v>
      </c>
      <c r="AO265" s="38" t="s">
        <v>361</v>
      </c>
      <c r="AP265" s="38" t="s">
        <v>361</v>
      </c>
      <c r="AQ265" s="38" t="s">
        <v>212</v>
      </c>
      <c r="AR265" s="38" t="s">
        <v>192</v>
      </c>
      <c r="AS265" s="38">
        <v>4</v>
      </c>
      <c r="AT265" s="38">
        <v>4</v>
      </c>
      <c r="AU265" s="38" t="s">
        <v>169</v>
      </c>
      <c r="AW265" s="38">
        <v>1901</v>
      </c>
      <c r="AX265" s="38">
        <v>17.899999999999999</v>
      </c>
      <c r="AY265" s="64"/>
      <c r="EG265" s="38">
        <v>69.540000000000006</v>
      </c>
      <c r="EH265" s="38">
        <v>78.150000000000006</v>
      </c>
      <c r="EI265" s="38" t="s">
        <v>1890</v>
      </c>
      <c r="EY265" s="38">
        <v>8.06</v>
      </c>
      <c r="EZ265" s="38">
        <v>11.92</v>
      </c>
      <c r="FR265" s="38" t="s">
        <v>374</v>
      </c>
      <c r="FT265" s="38">
        <v>18</v>
      </c>
    </row>
    <row r="266" spans="1:176" s="38" customFormat="1" x14ac:dyDescent="0.25">
      <c r="A266" s="38">
        <v>18</v>
      </c>
      <c r="B266" s="38" t="s">
        <v>357</v>
      </c>
      <c r="C266" s="38" t="s">
        <v>358</v>
      </c>
      <c r="D266" s="38">
        <v>2017</v>
      </c>
      <c r="E266" s="38">
        <v>2011</v>
      </c>
      <c r="F266" s="40" t="s">
        <v>371</v>
      </c>
      <c r="G266" s="38" t="s">
        <v>359</v>
      </c>
      <c r="H266" s="38">
        <v>40.716666666666669</v>
      </c>
      <c r="I266" s="38">
        <v>-77.916666666666671</v>
      </c>
      <c r="J266" s="38">
        <v>350</v>
      </c>
      <c r="N266" s="38">
        <v>975</v>
      </c>
      <c r="P266" s="57">
        <v>1</v>
      </c>
      <c r="Q266" s="57"/>
      <c r="R266" s="57" t="s">
        <v>372</v>
      </c>
      <c r="S266" s="57" t="s">
        <v>1565</v>
      </c>
      <c r="T266" s="57" t="s">
        <v>1565</v>
      </c>
      <c r="U266" s="57" t="s">
        <v>1565</v>
      </c>
      <c r="V266" s="57" t="s">
        <v>1908</v>
      </c>
      <c r="Z266" s="38" t="s">
        <v>531</v>
      </c>
      <c r="AD266" s="38" t="s">
        <v>1482</v>
      </c>
      <c r="AE266" s="38" t="s">
        <v>610</v>
      </c>
      <c r="AF266" s="152" t="s">
        <v>1288</v>
      </c>
      <c r="AG266" s="38" t="s">
        <v>160</v>
      </c>
      <c r="AH266" s="155" t="s">
        <v>1801</v>
      </c>
      <c r="AI266" s="38" t="s">
        <v>360</v>
      </c>
      <c r="AJ266" s="38" t="s">
        <v>360</v>
      </c>
      <c r="AK266" s="38" t="s">
        <v>212</v>
      </c>
      <c r="AO266" s="38" t="s">
        <v>361</v>
      </c>
      <c r="AP266" s="38" t="s">
        <v>361</v>
      </c>
      <c r="AQ266" s="38" t="s">
        <v>212</v>
      </c>
      <c r="AR266" s="38" t="s">
        <v>192</v>
      </c>
      <c r="AS266" s="38">
        <v>4</v>
      </c>
      <c r="AT266" s="38">
        <v>4</v>
      </c>
      <c r="AU266" s="38" t="s">
        <v>169</v>
      </c>
      <c r="AW266" s="38">
        <v>7165</v>
      </c>
      <c r="AX266" s="38">
        <v>24.2</v>
      </c>
      <c r="AY266" s="64"/>
      <c r="EG266" s="38">
        <v>69.540000000000006</v>
      </c>
      <c r="EH266" s="38">
        <v>74.7</v>
      </c>
      <c r="EI266" s="38" t="s">
        <v>1890</v>
      </c>
      <c r="EY266" s="38">
        <v>8.06</v>
      </c>
      <c r="EZ266" s="38">
        <v>9.8000000000000007</v>
      </c>
      <c r="FR266" s="38" t="s">
        <v>374</v>
      </c>
      <c r="FT266" s="38">
        <v>18</v>
      </c>
    </row>
    <row r="267" spans="1:176" s="38" customFormat="1" x14ac:dyDescent="0.25">
      <c r="A267" s="38">
        <v>18</v>
      </c>
      <c r="B267" s="38" t="s">
        <v>357</v>
      </c>
      <c r="C267" s="38" t="s">
        <v>358</v>
      </c>
      <c r="D267" s="38">
        <v>2017</v>
      </c>
      <c r="E267" s="38">
        <v>2011</v>
      </c>
      <c r="F267" s="40" t="s">
        <v>371</v>
      </c>
      <c r="G267" s="38" t="s">
        <v>359</v>
      </c>
      <c r="H267" s="38">
        <v>40.716666666666669</v>
      </c>
      <c r="I267" s="38">
        <v>-77.916666666666671</v>
      </c>
      <c r="J267" s="38">
        <v>350</v>
      </c>
      <c r="N267" s="38">
        <v>975</v>
      </c>
      <c r="P267" s="57">
        <v>1</v>
      </c>
      <c r="Q267" s="57"/>
      <c r="R267" s="57" t="s">
        <v>372</v>
      </c>
      <c r="S267" s="57" t="s">
        <v>1565</v>
      </c>
      <c r="T267" s="57" t="s">
        <v>1565</v>
      </c>
      <c r="U267" s="57" t="s">
        <v>1565</v>
      </c>
      <c r="V267" s="57" t="s">
        <v>1908</v>
      </c>
      <c r="Z267" s="38" t="s">
        <v>531</v>
      </c>
      <c r="AD267" s="38" t="s">
        <v>1482</v>
      </c>
      <c r="AE267" s="38" t="s">
        <v>159</v>
      </c>
      <c r="AF267" s="152" t="s">
        <v>159</v>
      </c>
      <c r="AG267" s="38" t="s">
        <v>160</v>
      </c>
      <c r="AH267" s="155" t="s">
        <v>1801</v>
      </c>
      <c r="AI267" s="38" t="s">
        <v>360</v>
      </c>
      <c r="AJ267" s="38" t="s">
        <v>360</v>
      </c>
      <c r="AK267" s="38" t="s">
        <v>212</v>
      </c>
      <c r="AO267" s="38" t="s">
        <v>361</v>
      </c>
      <c r="AP267" s="38" t="s">
        <v>361</v>
      </c>
      <c r="AQ267" s="38" t="s">
        <v>212</v>
      </c>
      <c r="AR267" s="38" t="s">
        <v>192</v>
      </c>
      <c r="AS267" s="38">
        <v>4</v>
      </c>
      <c r="AT267" s="38">
        <v>4</v>
      </c>
      <c r="AU267" s="38" t="s">
        <v>169</v>
      </c>
      <c r="AW267" s="38">
        <v>7343</v>
      </c>
      <c r="AX267" s="38">
        <v>42.9</v>
      </c>
      <c r="AY267" s="64"/>
      <c r="EG267" s="38">
        <v>69.540000000000006</v>
      </c>
      <c r="EH267" s="38">
        <v>74.03</v>
      </c>
      <c r="EI267" s="38" t="s">
        <v>1890</v>
      </c>
      <c r="EY267" s="38">
        <v>8.06</v>
      </c>
      <c r="EZ267" s="38">
        <v>12.28</v>
      </c>
      <c r="FR267" s="38" t="s">
        <v>374</v>
      </c>
      <c r="FT267" s="38">
        <v>18</v>
      </c>
    </row>
    <row r="268" spans="1:176" s="38" customFormat="1" x14ac:dyDescent="0.25">
      <c r="A268" s="38">
        <v>18</v>
      </c>
      <c r="B268" s="38" t="s">
        <v>357</v>
      </c>
      <c r="C268" s="38" t="s">
        <v>358</v>
      </c>
      <c r="D268" s="38">
        <v>2017</v>
      </c>
      <c r="E268" s="38">
        <v>2011</v>
      </c>
      <c r="F268" s="40" t="s">
        <v>371</v>
      </c>
      <c r="G268" s="38" t="s">
        <v>359</v>
      </c>
      <c r="H268" s="38">
        <v>40.716666666666669</v>
      </c>
      <c r="I268" s="38">
        <v>-77.916666666666671</v>
      </c>
      <c r="J268" s="38">
        <v>350</v>
      </c>
      <c r="N268" s="38">
        <v>975</v>
      </c>
      <c r="P268" s="57">
        <v>1</v>
      </c>
      <c r="Q268" s="57"/>
      <c r="R268" s="57" t="s">
        <v>372</v>
      </c>
      <c r="S268" s="57" t="s">
        <v>1565</v>
      </c>
      <c r="T268" s="57" t="s">
        <v>1565</v>
      </c>
      <c r="U268" s="57" t="s">
        <v>1565</v>
      </c>
      <c r="V268" s="57" t="s">
        <v>1908</v>
      </c>
      <c r="Z268" s="38" t="s">
        <v>531</v>
      </c>
      <c r="AD268" s="38" t="s">
        <v>1482</v>
      </c>
      <c r="AE268" s="38" t="s">
        <v>1684</v>
      </c>
      <c r="AF268" s="152" t="s">
        <v>727</v>
      </c>
      <c r="AG268" s="38" t="s">
        <v>160</v>
      </c>
      <c r="AH268" s="155" t="s">
        <v>1801</v>
      </c>
      <c r="AI268" s="38" t="s">
        <v>360</v>
      </c>
      <c r="AJ268" s="38" t="s">
        <v>360</v>
      </c>
      <c r="AK268" s="38" t="s">
        <v>212</v>
      </c>
      <c r="AO268" s="38" t="s">
        <v>361</v>
      </c>
      <c r="AP268" s="38" t="s">
        <v>361</v>
      </c>
      <c r="AQ268" s="38" t="s">
        <v>212</v>
      </c>
      <c r="AR268" s="38" t="s">
        <v>192</v>
      </c>
      <c r="AS268" s="38">
        <v>4</v>
      </c>
      <c r="AT268" s="38">
        <v>4</v>
      </c>
      <c r="AU268" s="38" t="s">
        <v>169</v>
      </c>
      <c r="AW268" s="38">
        <v>5850</v>
      </c>
      <c r="AX268" s="38">
        <v>29.9</v>
      </c>
      <c r="AY268" s="64"/>
      <c r="EG268" s="38">
        <v>69.540000000000006</v>
      </c>
      <c r="EH268" s="38">
        <v>74.53</v>
      </c>
      <c r="EI268" s="38" t="s">
        <v>1890</v>
      </c>
      <c r="EY268" s="38">
        <v>8.06</v>
      </c>
      <c r="EZ268" s="38">
        <v>10.97</v>
      </c>
      <c r="FR268" s="38" t="s">
        <v>374</v>
      </c>
      <c r="FT268" s="38">
        <v>18</v>
      </c>
    </row>
    <row r="269" spans="1:176" s="38" customFormat="1" x14ac:dyDescent="0.25">
      <c r="A269" s="38">
        <v>18</v>
      </c>
      <c r="B269" s="38" t="s">
        <v>357</v>
      </c>
      <c r="C269" s="38" t="s">
        <v>358</v>
      </c>
      <c r="D269" s="38">
        <v>2017</v>
      </c>
      <c r="E269" s="38">
        <v>2011</v>
      </c>
      <c r="F269" s="40" t="s">
        <v>371</v>
      </c>
      <c r="G269" s="38" t="s">
        <v>359</v>
      </c>
      <c r="H269" s="38">
        <v>40.716666666666669</v>
      </c>
      <c r="I269" s="38">
        <v>-77.916666666666671</v>
      </c>
      <c r="J269" s="38">
        <v>350</v>
      </c>
      <c r="N269" s="38">
        <v>975</v>
      </c>
      <c r="P269" s="57">
        <v>1</v>
      </c>
      <c r="Q269" s="57"/>
      <c r="R269" s="57" t="s">
        <v>372</v>
      </c>
      <c r="S269" s="57" t="s">
        <v>1565</v>
      </c>
      <c r="T269" s="57" t="s">
        <v>1565</v>
      </c>
      <c r="U269" s="57" t="s">
        <v>1565</v>
      </c>
      <c r="V269" s="57" t="s">
        <v>1908</v>
      </c>
      <c r="Z269" s="38" t="s">
        <v>531</v>
      </c>
      <c r="AD269" s="38" t="s">
        <v>1482</v>
      </c>
      <c r="AE269" s="38" t="s">
        <v>1685</v>
      </c>
      <c r="AF269" s="152" t="s">
        <v>727</v>
      </c>
      <c r="AG269" s="38" t="s">
        <v>160</v>
      </c>
      <c r="AH269" s="155" t="s">
        <v>1801</v>
      </c>
      <c r="AI269" s="38" t="s">
        <v>360</v>
      </c>
      <c r="AJ269" s="38" t="s">
        <v>360</v>
      </c>
      <c r="AK269" s="38" t="s">
        <v>212</v>
      </c>
      <c r="AO269" s="38" t="s">
        <v>361</v>
      </c>
      <c r="AP269" s="38" t="s">
        <v>361</v>
      </c>
      <c r="AQ269" s="38" t="s">
        <v>212</v>
      </c>
      <c r="AR269" s="38" t="s">
        <v>192</v>
      </c>
      <c r="AS269" s="38">
        <v>4</v>
      </c>
      <c r="AT269" s="38">
        <v>4</v>
      </c>
      <c r="AU269" s="38" t="s">
        <v>169</v>
      </c>
      <c r="AW269" s="38">
        <v>1724</v>
      </c>
      <c r="AX269" s="38">
        <v>15.4</v>
      </c>
      <c r="AY269" s="64"/>
      <c r="EG269" s="38">
        <v>69.540000000000006</v>
      </c>
      <c r="EH269" s="38">
        <v>76.25</v>
      </c>
      <c r="EI269" s="38" t="s">
        <v>1890</v>
      </c>
      <c r="EY269" s="38">
        <v>8.06</v>
      </c>
      <c r="EZ269" s="38">
        <v>12.2</v>
      </c>
      <c r="FR269" s="38" t="s">
        <v>374</v>
      </c>
      <c r="FT269" s="38">
        <v>18</v>
      </c>
    </row>
    <row r="270" spans="1:176" s="38" customFormat="1" x14ac:dyDescent="0.25">
      <c r="A270" s="38">
        <v>18</v>
      </c>
      <c r="B270" s="38" t="s">
        <v>357</v>
      </c>
      <c r="C270" s="38" t="s">
        <v>358</v>
      </c>
      <c r="D270" s="38">
        <v>2017</v>
      </c>
      <c r="E270" s="38">
        <v>2011</v>
      </c>
      <c r="F270" s="40" t="s">
        <v>371</v>
      </c>
      <c r="G270" s="38" t="s">
        <v>359</v>
      </c>
      <c r="H270" s="38">
        <v>40.716666666666669</v>
      </c>
      <c r="I270" s="38">
        <v>-77.916666666666671</v>
      </c>
      <c r="J270" s="38">
        <v>350</v>
      </c>
      <c r="N270" s="38">
        <v>975</v>
      </c>
      <c r="P270" s="57">
        <v>1</v>
      </c>
      <c r="Q270" s="57"/>
      <c r="R270" s="57" t="s">
        <v>372</v>
      </c>
      <c r="S270" s="57" t="s">
        <v>1565</v>
      </c>
      <c r="T270" s="57" t="s">
        <v>1565</v>
      </c>
      <c r="U270" s="57" t="s">
        <v>1565</v>
      </c>
      <c r="V270" s="57" t="s">
        <v>1908</v>
      </c>
      <c r="Z270" s="38" t="s">
        <v>531</v>
      </c>
      <c r="AD270" s="38" t="s">
        <v>1482</v>
      </c>
      <c r="AE270" s="38" t="s">
        <v>1686</v>
      </c>
      <c r="AF270" s="152" t="s">
        <v>727</v>
      </c>
      <c r="AG270" s="38" t="s">
        <v>160</v>
      </c>
      <c r="AH270" s="155" t="s">
        <v>1801</v>
      </c>
      <c r="AI270" s="38" t="s">
        <v>360</v>
      </c>
      <c r="AJ270" s="38" t="s">
        <v>360</v>
      </c>
      <c r="AK270" s="38" t="s">
        <v>212</v>
      </c>
      <c r="AO270" s="38" t="s">
        <v>361</v>
      </c>
      <c r="AP270" s="38" t="s">
        <v>361</v>
      </c>
      <c r="AQ270" s="38" t="s">
        <v>212</v>
      </c>
      <c r="AR270" s="38" t="s">
        <v>192</v>
      </c>
      <c r="AS270" s="38">
        <v>4</v>
      </c>
      <c r="AT270" s="38">
        <v>4</v>
      </c>
      <c r="AU270" s="38" t="s">
        <v>169</v>
      </c>
      <c r="AW270" s="38">
        <v>6699</v>
      </c>
      <c r="AX270" s="38">
        <v>16.399999999999999</v>
      </c>
      <c r="AY270" s="64"/>
      <c r="EG270" s="38">
        <v>69.540000000000006</v>
      </c>
      <c r="EH270" s="38">
        <v>76.3</v>
      </c>
      <c r="EI270" s="38" t="s">
        <v>1890</v>
      </c>
      <c r="EY270" s="38">
        <v>8.06</v>
      </c>
      <c r="EZ270" s="38">
        <v>11.89</v>
      </c>
      <c r="FR270" s="38" t="s">
        <v>374</v>
      </c>
      <c r="FT270" s="38">
        <v>18</v>
      </c>
    </row>
    <row r="271" spans="1:176" s="38" customFormat="1" x14ac:dyDescent="0.25">
      <c r="A271" s="38">
        <v>18</v>
      </c>
      <c r="B271" s="38" t="s">
        <v>357</v>
      </c>
      <c r="C271" s="38" t="s">
        <v>358</v>
      </c>
      <c r="D271" s="38">
        <v>2017</v>
      </c>
      <c r="E271" s="38">
        <v>2011</v>
      </c>
      <c r="F271" s="40" t="s">
        <v>371</v>
      </c>
      <c r="G271" s="38" t="s">
        <v>359</v>
      </c>
      <c r="H271" s="38">
        <v>40.716666666666669</v>
      </c>
      <c r="I271" s="38">
        <v>-77.916666666666671</v>
      </c>
      <c r="J271" s="38">
        <v>350</v>
      </c>
      <c r="N271" s="38">
        <v>975</v>
      </c>
      <c r="P271" s="57">
        <v>1</v>
      </c>
      <c r="Q271" s="57"/>
      <c r="R271" s="57" t="s">
        <v>372</v>
      </c>
      <c r="S271" s="57" t="s">
        <v>1565</v>
      </c>
      <c r="T271" s="57" t="s">
        <v>1565</v>
      </c>
      <c r="U271" s="57" t="s">
        <v>1565</v>
      </c>
      <c r="V271" s="57" t="s">
        <v>1908</v>
      </c>
      <c r="Z271" s="38" t="s">
        <v>531</v>
      </c>
      <c r="AD271" s="38" t="s">
        <v>1482</v>
      </c>
      <c r="AE271" s="38" t="s">
        <v>1687</v>
      </c>
      <c r="AF271" s="152" t="s">
        <v>727</v>
      </c>
      <c r="AG271" s="38" t="s">
        <v>160</v>
      </c>
      <c r="AH271" s="155" t="s">
        <v>1801</v>
      </c>
      <c r="AI271" s="38" t="s">
        <v>360</v>
      </c>
      <c r="AJ271" s="38" t="s">
        <v>360</v>
      </c>
      <c r="AK271" s="38" t="s">
        <v>212</v>
      </c>
      <c r="AO271" s="38" t="s">
        <v>361</v>
      </c>
      <c r="AP271" s="38" t="s">
        <v>361</v>
      </c>
      <c r="AQ271" s="38" t="s">
        <v>212</v>
      </c>
      <c r="AR271" s="38" t="s">
        <v>192</v>
      </c>
      <c r="AS271" s="38">
        <v>4</v>
      </c>
      <c r="AT271" s="38">
        <v>4</v>
      </c>
      <c r="AU271" s="38" t="s">
        <v>169</v>
      </c>
      <c r="AW271" s="38">
        <v>6997</v>
      </c>
      <c r="AX271" s="38">
        <v>35.9</v>
      </c>
      <c r="AY271" s="64"/>
      <c r="EG271" s="38">
        <v>69.540000000000006</v>
      </c>
      <c r="EH271" s="38">
        <v>73.819999999999993</v>
      </c>
      <c r="EI271" s="38" t="s">
        <v>1890</v>
      </c>
      <c r="EY271" s="38">
        <v>8.06</v>
      </c>
      <c r="EZ271" s="38">
        <v>10.119999999999999</v>
      </c>
      <c r="FR271" s="38" t="s">
        <v>374</v>
      </c>
      <c r="FT271" s="38">
        <v>18</v>
      </c>
    </row>
    <row r="272" spans="1:176" s="38" customFormat="1" x14ac:dyDescent="0.25">
      <c r="A272" s="38">
        <v>18</v>
      </c>
      <c r="B272" s="38" t="s">
        <v>357</v>
      </c>
      <c r="C272" s="38" t="s">
        <v>358</v>
      </c>
      <c r="D272" s="38">
        <v>2017</v>
      </c>
      <c r="E272" s="38">
        <v>2011</v>
      </c>
      <c r="F272" s="40" t="s">
        <v>371</v>
      </c>
      <c r="G272" s="38" t="s">
        <v>359</v>
      </c>
      <c r="H272" s="38">
        <v>40.716666666666669</v>
      </c>
      <c r="I272" s="38">
        <v>-77.916666666666671</v>
      </c>
      <c r="J272" s="38">
        <v>350</v>
      </c>
      <c r="N272" s="38">
        <v>975</v>
      </c>
      <c r="P272" s="57">
        <v>1</v>
      </c>
      <c r="Q272" s="57"/>
      <c r="R272" s="57" t="s">
        <v>372</v>
      </c>
      <c r="S272" s="57" t="s">
        <v>1565</v>
      </c>
      <c r="T272" s="57" t="s">
        <v>1565</v>
      </c>
      <c r="U272" s="57" t="s">
        <v>1565</v>
      </c>
      <c r="V272" s="57" t="s">
        <v>1908</v>
      </c>
      <c r="Z272" s="38" t="s">
        <v>531</v>
      </c>
      <c r="AD272" s="38" t="s">
        <v>1482</v>
      </c>
      <c r="AE272" s="38" t="s">
        <v>1688</v>
      </c>
      <c r="AF272" s="152" t="s">
        <v>727</v>
      </c>
      <c r="AG272" s="38" t="s">
        <v>160</v>
      </c>
      <c r="AH272" s="155" t="s">
        <v>1801</v>
      </c>
      <c r="AI272" s="38" t="s">
        <v>360</v>
      </c>
      <c r="AJ272" s="38" t="s">
        <v>360</v>
      </c>
      <c r="AK272" s="38" t="s">
        <v>212</v>
      </c>
      <c r="AO272" s="38" t="s">
        <v>361</v>
      </c>
      <c r="AP272" s="38" t="s">
        <v>361</v>
      </c>
      <c r="AQ272" s="38" t="s">
        <v>212</v>
      </c>
      <c r="AR272" s="38" t="s">
        <v>192</v>
      </c>
      <c r="AS272" s="38">
        <v>4</v>
      </c>
      <c r="AT272" s="38">
        <v>4</v>
      </c>
      <c r="AU272" s="38" t="s">
        <v>169</v>
      </c>
      <c r="AW272" s="38">
        <v>5374</v>
      </c>
      <c r="AX272" s="38">
        <v>11</v>
      </c>
      <c r="AY272" s="64"/>
      <c r="EG272" s="38">
        <v>69.540000000000006</v>
      </c>
      <c r="EH272" s="38">
        <v>76.52</v>
      </c>
      <c r="EI272" s="38" t="s">
        <v>1890</v>
      </c>
      <c r="EY272" s="38">
        <v>8.06</v>
      </c>
      <c r="EZ272" s="38">
        <v>10.73</v>
      </c>
      <c r="FR272" s="38" t="s">
        <v>374</v>
      </c>
      <c r="FT272" s="38">
        <v>18</v>
      </c>
    </row>
    <row r="273" spans="1:176" s="38" customFormat="1" x14ac:dyDescent="0.25">
      <c r="A273" s="38">
        <v>18</v>
      </c>
      <c r="B273" s="38" t="s">
        <v>357</v>
      </c>
      <c r="C273" s="38" t="s">
        <v>358</v>
      </c>
      <c r="D273" s="38">
        <v>2017</v>
      </c>
      <c r="E273" s="38">
        <v>2011</v>
      </c>
      <c r="F273" s="40" t="s">
        <v>371</v>
      </c>
      <c r="G273" s="38" t="s">
        <v>359</v>
      </c>
      <c r="H273" s="38">
        <v>40.716666666666669</v>
      </c>
      <c r="I273" s="38">
        <v>-77.916666666666671</v>
      </c>
      <c r="J273" s="38">
        <v>350</v>
      </c>
      <c r="N273" s="38">
        <v>975</v>
      </c>
      <c r="P273" s="57">
        <v>1</v>
      </c>
      <c r="Q273" s="57"/>
      <c r="R273" s="57" t="s">
        <v>372</v>
      </c>
      <c r="S273" s="57" t="s">
        <v>1565</v>
      </c>
      <c r="T273" s="57" t="s">
        <v>1565</v>
      </c>
      <c r="U273" s="57" t="s">
        <v>1565</v>
      </c>
      <c r="V273" s="57" t="s">
        <v>1908</v>
      </c>
      <c r="Z273" s="38" t="s">
        <v>531</v>
      </c>
      <c r="AD273" s="38" t="s">
        <v>1482</v>
      </c>
      <c r="AE273" s="38" t="s">
        <v>362</v>
      </c>
      <c r="AF273" s="152" t="s">
        <v>727</v>
      </c>
      <c r="AG273" s="38" t="s">
        <v>160</v>
      </c>
      <c r="AH273" s="155" t="s">
        <v>1801</v>
      </c>
      <c r="AI273" s="38" t="s">
        <v>360</v>
      </c>
      <c r="AJ273" s="38" t="s">
        <v>360</v>
      </c>
      <c r="AK273" s="38" t="s">
        <v>212</v>
      </c>
      <c r="AO273" s="38" t="s">
        <v>361</v>
      </c>
      <c r="AP273" s="38" t="s">
        <v>361</v>
      </c>
      <c r="AQ273" s="38" t="s">
        <v>212</v>
      </c>
      <c r="AR273" s="38" t="s">
        <v>192</v>
      </c>
      <c r="AS273" s="38">
        <v>4</v>
      </c>
      <c r="AT273" s="38">
        <v>4</v>
      </c>
      <c r="AU273" s="38" t="s">
        <v>169</v>
      </c>
      <c r="AW273" s="38">
        <v>7143</v>
      </c>
      <c r="AX273" s="38">
        <v>15</v>
      </c>
      <c r="AY273" s="64"/>
      <c r="EG273" s="38">
        <v>69.540000000000006</v>
      </c>
      <c r="EH273" s="38">
        <v>78.099999999999994</v>
      </c>
      <c r="EI273" s="38" t="s">
        <v>1890</v>
      </c>
      <c r="EY273" s="38">
        <v>8.06</v>
      </c>
      <c r="EZ273" s="38">
        <v>11.61</v>
      </c>
      <c r="FR273" s="38" t="s">
        <v>374</v>
      </c>
      <c r="FT273" s="38">
        <v>18</v>
      </c>
    </row>
    <row r="274" spans="1:176" s="31" customFormat="1" x14ac:dyDescent="0.25">
      <c r="A274" s="31">
        <v>18</v>
      </c>
      <c r="B274" s="31" t="s">
        <v>357</v>
      </c>
      <c r="C274" s="31" t="s">
        <v>358</v>
      </c>
      <c r="D274" s="31">
        <v>2017</v>
      </c>
      <c r="E274" s="31">
        <v>2012</v>
      </c>
      <c r="F274" s="41" t="s">
        <v>371</v>
      </c>
      <c r="G274" s="31" t="s">
        <v>359</v>
      </c>
      <c r="H274" s="31">
        <v>40.716666666666669</v>
      </c>
      <c r="I274" s="31">
        <v>-77.916666666666671</v>
      </c>
      <c r="J274" s="31">
        <v>350</v>
      </c>
      <c r="N274" s="31">
        <v>975</v>
      </c>
      <c r="P274" s="56">
        <v>2</v>
      </c>
      <c r="Q274" s="56"/>
      <c r="R274" s="56" t="s">
        <v>373</v>
      </c>
      <c r="S274" s="56" t="s">
        <v>1565</v>
      </c>
      <c r="T274" s="56" t="s">
        <v>1565</v>
      </c>
      <c r="U274" s="56" t="s">
        <v>1565</v>
      </c>
      <c r="V274" s="56" t="s">
        <v>1908</v>
      </c>
      <c r="Z274" s="31" t="s">
        <v>531</v>
      </c>
      <c r="AD274" s="31" t="s">
        <v>1482</v>
      </c>
      <c r="AE274" s="31" t="s">
        <v>1710</v>
      </c>
      <c r="AF274" s="152" t="s">
        <v>666</v>
      </c>
      <c r="AG274" s="31" t="s">
        <v>160</v>
      </c>
      <c r="AH274" s="155" t="s">
        <v>1801</v>
      </c>
      <c r="AI274" s="31" t="s">
        <v>360</v>
      </c>
      <c r="AJ274" s="31" t="s">
        <v>360</v>
      </c>
      <c r="AK274" s="31" t="s">
        <v>212</v>
      </c>
      <c r="AO274" s="31" t="s">
        <v>361</v>
      </c>
      <c r="AP274" s="31" t="s">
        <v>361</v>
      </c>
      <c r="AQ274" s="31" t="s">
        <v>212</v>
      </c>
      <c r="AR274" s="31" t="s">
        <v>192</v>
      </c>
      <c r="AS274" s="31">
        <v>4</v>
      </c>
      <c r="AT274" s="31">
        <v>4</v>
      </c>
      <c r="AU274" s="31" t="s">
        <v>169</v>
      </c>
      <c r="AW274" s="31">
        <v>61</v>
      </c>
      <c r="AX274" s="31">
        <v>9.3000000000000007</v>
      </c>
      <c r="AY274" s="64"/>
      <c r="EG274" s="31">
        <v>77.319999999999993</v>
      </c>
      <c r="EH274" s="31">
        <v>85.89</v>
      </c>
      <c r="EI274" s="31" t="s">
        <v>1890</v>
      </c>
      <c r="EY274" s="31">
        <v>11.14</v>
      </c>
      <c r="EZ274" s="31">
        <v>9.98</v>
      </c>
      <c r="FR274" s="31" t="s">
        <v>374</v>
      </c>
      <c r="FT274" s="31">
        <v>18</v>
      </c>
    </row>
    <row r="275" spans="1:176" s="31" customFormat="1" x14ac:dyDescent="0.25">
      <c r="A275" s="31">
        <v>18</v>
      </c>
      <c r="B275" s="31" t="s">
        <v>357</v>
      </c>
      <c r="C275" s="31" t="s">
        <v>358</v>
      </c>
      <c r="D275" s="31">
        <v>2017</v>
      </c>
      <c r="E275" s="31">
        <v>2012</v>
      </c>
      <c r="F275" s="41" t="s">
        <v>371</v>
      </c>
      <c r="G275" s="31" t="s">
        <v>359</v>
      </c>
      <c r="H275" s="31">
        <v>40.716666666666669</v>
      </c>
      <c r="I275" s="31">
        <v>-77.916666666666671</v>
      </c>
      <c r="J275" s="31">
        <v>350</v>
      </c>
      <c r="N275" s="31">
        <v>975</v>
      </c>
      <c r="P275" s="56">
        <v>2</v>
      </c>
      <c r="Q275" s="56"/>
      <c r="R275" s="56" t="s">
        <v>373</v>
      </c>
      <c r="S275" s="56" t="s">
        <v>1565</v>
      </c>
      <c r="T275" s="56" t="s">
        <v>1565</v>
      </c>
      <c r="U275" s="56" t="s">
        <v>1565</v>
      </c>
      <c r="V275" s="56" t="s">
        <v>1908</v>
      </c>
      <c r="Z275" s="31" t="s">
        <v>531</v>
      </c>
      <c r="AD275" s="31" t="s">
        <v>1482</v>
      </c>
      <c r="AE275" s="31" t="s">
        <v>1312</v>
      </c>
      <c r="AF275" s="152" t="s">
        <v>666</v>
      </c>
      <c r="AG275" s="31" t="s">
        <v>160</v>
      </c>
      <c r="AH275" s="155" t="s">
        <v>1801</v>
      </c>
      <c r="AI275" s="31" t="s">
        <v>360</v>
      </c>
      <c r="AJ275" s="31" t="s">
        <v>360</v>
      </c>
      <c r="AK275" s="31" t="s">
        <v>212</v>
      </c>
      <c r="AO275" s="31" t="s">
        <v>361</v>
      </c>
      <c r="AP275" s="31" t="s">
        <v>361</v>
      </c>
      <c r="AQ275" s="31" t="s">
        <v>212</v>
      </c>
      <c r="AR275" s="31" t="s">
        <v>192</v>
      </c>
      <c r="AS275" s="31">
        <v>4</v>
      </c>
      <c r="AT275" s="31">
        <v>4</v>
      </c>
      <c r="AU275" s="31" t="s">
        <v>169</v>
      </c>
      <c r="AW275" s="31">
        <v>418</v>
      </c>
      <c r="AX275" s="31">
        <v>9.5</v>
      </c>
      <c r="AY275" s="64"/>
      <c r="EG275" s="31">
        <v>77.319999999999993</v>
      </c>
      <c r="EH275" s="31">
        <v>82.78</v>
      </c>
      <c r="EI275" s="31" t="s">
        <v>1890</v>
      </c>
      <c r="EY275" s="31">
        <v>11.14</v>
      </c>
      <c r="EZ275" s="31">
        <v>9.44</v>
      </c>
      <c r="FR275" s="31" t="s">
        <v>374</v>
      </c>
      <c r="FT275" s="31">
        <v>18</v>
      </c>
    </row>
    <row r="276" spans="1:176" s="31" customFormat="1" x14ac:dyDescent="0.25">
      <c r="A276" s="31">
        <v>18</v>
      </c>
      <c r="B276" s="31" t="s">
        <v>357</v>
      </c>
      <c r="C276" s="31" t="s">
        <v>358</v>
      </c>
      <c r="D276" s="31">
        <v>2017</v>
      </c>
      <c r="E276" s="31">
        <v>2012</v>
      </c>
      <c r="F276" s="41" t="s">
        <v>371</v>
      </c>
      <c r="G276" s="31" t="s">
        <v>359</v>
      </c>
      <c r="H276" s="31">
        <v>40.716666666666669</v>
      </c>
      <c r="I276" s="31">
        <v>-77.916666666666671</v>
      </c>
      <c r="J276" s="31">
        <v>350</v>
      </c>
      <c r="N276" s="31">
        <v>975</v>
      </c>
      <c r="P276" s="56">
        <v>2</v>
      </c>
      <c r="Q276" s="56"/>
      <c r="R276" s="56" t="s">
        <v>373</v>
      </c>
      <c r="S276" s="56" t="s">
        <v>1565</v>
      </c>
      <c r="T276" s="56" t="s">
        <v>1565</v>
      </c>
      <c r="U276" s="56" t="s">
        <v>1565</v>
      </c>
      <c r="V276" s="56" t="s">
        <v>1908</v>
      </c>
      <c r="Z276" s="31" t="s">
        <v>531</v>
      </c>
      <c r="AD276" s="31" t="s">
        <v>1482</v>
      </c>
      <c r="AE276" s="31" t="s">
        <v>1711</v>
      </c>
      <c r="AF276" s="152" t="s">
        <v>666</v>
      </c>
      <c r="AG276" s="31" t="s">
        <v>160</v>
      </c>
      <c r="AH276" s="155" t="s">
        <v>1801</v>
      </c>
      <c r="AI276" s="31" t="s">
        <v>360</v>
      </c>
      <c r="AJ276" s="31" t="s">
        <v>360</v>
      </c>
      <c r="AK276" s="31" t="s">
        <v>212</v>
      </c>
      <c r="AO276" s="31" t="s">
        <v>361</v>
      </c>
      <c r="AP276" s="31" t="s">
        <v>361</v>
      </c>
      <c r="AQ276" s="31" t="s">
        <v>212</v>
      </c>
      <c r="AR276" s="31" t="s">
        <v>192</v>
      </c>
      <c r="AS276" s="31">
        <v>4</v>
      </c>
      <c r="AT276" s="31">
        <v>4</v>
      </c>
      <c r="AU276" s="31" t="s">
        <v>169</v>
      </c>
      <c r="AW276" s="31">
        <v>4045</v>
      </c>
      <c r="AX276" s="31">
        <v>10.3</v>
      </c>
      <c r="AY276" s="64"/>
      <c r="EG276" s="31">
        <v>77.319999999999993</v>
      </c>
      <c r="EH276" s="31">
        <v>86.2</v>
      </c>
      <c r="EI276" s="31" t="s">
        <v>1890</v>
      </c>
      <c r="EY276" s="31">
        <v>11.14</v>
      </c>
      <c r="EZ276" s="31">
        <v>11.5</v>
      </c>
      <c r="FR276" s="31" t="s">
        <v>374</v>
      </c>
      <c r="FT276" s="31">
        <v>18</v>
      </c>
    </row>
    <row r="277" spans="1:176" s="31" customFormat="1" x14ac:dyDescent="0.25">
      <c r="A277" s="31">
        <v>18</v>
      </c>
      <c r="B277" s="31" t="s">
        <v>357</v>
      </c>
      <c r="C277" s="31" t="s">
        <v>358</v>
      </c>
      <c r="D277" s="31">
        <v>2017</v>
      </c>
      <c r="E277" s="31">
        <v>2012</v>
      </c>
      <c r="F277" s="41" t="s">
        <v>371</v>
      </c>
      <c r="G277" s="31" t="s">
        <v>359</v>
      </c>
      <c r="H277" s="31">
        <v>40.716666666666669</v>
      </c>
      <c r="I277" s="31">
        <v>-77.916666666666671</v>
      </c>
      <c r="J277" s="31">
        <v>350</v>
      </c>
      <c r="N277" s="31">
        <v>975</v>
      </c>
      <c r="P277" s="56">
        <v>2</v>
      </c>
      <c r="Q277" s="56"/>
      <c r="R277" s="56" t="s">
        <v>373</v>
      </c>
      <c r="S277" s="56" t="s">
        <v>1565</v>
      </c>
      <c r="T277" s="56" t="s">
        <v>1565</v>
      </c>
      <c r="U277" s="56" t="s">
        <v>1565</v>
      </c>
      <c r="V277" s="56" t="s">
        <v>1908</v>
      </c>
      <c r="Z277" s="31" t="s">
        <v>531</v>
      </c>
      <c r="AD277" s="31" t="s">
        <v>1482</v>
      </c>
      <c r="AE277" s="31" t="s">
        <v>281</v>
      </c>
      <c r="AF277" s="152" t="s">
        <v>666</v>
      </c>
      <c r="AG277" s="31" t="s">
        <v>160</v>
      </c>
      <c r="AH277" s="155" t="s">
        <v>1801</v>
      </c>
      <c r="AI277" s="31" t="s">
        <v>360</v>
      </c>
      <c r="AJ277" s="31" t="s">
        <v>360</v>
      </c>
      <c r="AK277" s="31" t="s">
        <v>212</v>
      </c>
      <c r="AO277" s="31" t="s">
        <v>361</v>
      </c>
      <c r="AP277" s="31" t="s">
        <v>361</v>
      </c>
      <c r="AQ277" s="31" t="s">
        <v>212</v>
      </c>
      <c r="AR277" s="31" t="s">
        <v>192</v>
      </c>
      <c r="AS277" s="31">
        <v>4</v>
      </c>
      <c r="AT277" s="31">
        <v>4</v>
      </c>
      <c r="AU277" s="31" t="s">
        <v>169</v>
      </c>
      <c r="AW277" s="31">
        <v>4531</v>
      </c>
      <c r="AX277" s="31">
        <v>9</v>
      </c>
      <c r="AY277" s="64"/>
      <c r="EG277" s="31">
        <v>77.319999999999993</v>
      </c>
      <c r="EH277" s="31">
        <v>87.33</v>
      </c>
      <c r="EI277" s="31" t="s">
        <v>1890</v>
      </c>
      <c r="EY277" s="31">
        <v>11.14</v>
      </c>
      <c r="EZ277" s="31">
        <v>17.059999999999999</v>
      </c>
      <c r="FR277" s="31" t="s">
        <v>374</v>
      </c>
      <c r="FT277" s="31">
        <v>18</v>
      </c>
    </row>
    <row r="278" spans="1:176" s="31" customFormat="1" x14ac:dyDescent="0.25">
      <c r="A278" s="31">
        <v>18</v>
      </c>
      <c r="B278" s="31" t="s">
        <v>357</v>
      </c>
      <c r="C278" s="31" t="s">
        <v>358</v>
      </c>
      <c r="D278" s="31">
        <v>2017</v>
      </c>
      <c r="E278" s="31">
        <v>2012</v>
      </c>
      <c r="F278" s="41" t="s">
        <v>371</v>
      </c>
      <c r="G278" s="31" t="s">
        <v>359</v>
      </c>
      <c r="H278" s="31">
        <v>40.716666666666669</v>
      </c>
      <c r="I278" s="31">
        <v>-77.916666666666671</v>
      </c>
      <c r="J278" s="31">
        <v>350</v>
      </c>
      <c r="N278" s="31">
        <v>975</v>
      </c>
      <c r="P278" s="56">
        <v>2</v>
      </c>
      <c r="Q278" s="56"/>
      <c r="R278" s="56" t="s">
        <v>373</v>
      </c>
      <c r="S278" s="56" t="s">
        <v>1565</v>
      </c>
      <c r="T278" s="56" t="s">
        <v>1565</v>
      </c>
      <c r="U278" s="56" t="s">
        <v>1565</v>
      </c>
      <c r="V278" s="56" t="s">
        <v>1908</v>
      </c>
      <c r="Z278" s="31" t="s">
        <v>531</v>
      </c>
      <c r="AD278" s="31" t="s">
        <v>1482</v>
      </c>
      <c r="AE278" s="31" t="s">
        <v>1757</v>
      </c>
      <c r="AF278" s="152" t="s">
        <v>1288</v>
      </c>
      <c r="AG278" s="31" t="s">
        <v>160</v>
      </c>
      <c r="AH278" s="155" t="s">
        <v>1801</v>
      </c>
      <c r="AI278" s="31" t="s">
        <v>360</v>
      </c>
      <c r="AJ278" s="31" t="s">
        <v>360</v>
      </c>
      <c r="AK278" s="31" t="s">
        <v>212</v>
      </c>
      <c r="AO278" s="31" t="s">
        <v>361</v>
      </c>
      <c r="AP278" s="31" t="s">
        <v>361</v>
      </c>
      <c r="AQ278" s="31" t="s">
        <v>212</v>
      </c>
      <c r="AR278" s="31" t="s">
        <v>192</v>
      </c>
      <c r="AS278" s="31">
        <v>4</v>
      </c>
      <c r="AT278" s="31">
        <v>4</v>
      </c>
      <c r="AU278" s="31" t="s">
        <v>169</v>
      </c>
      <c r="AW278" s="31">
        <v>1381</v>
      </c>
      <c r="AX278" s="31">
        <v>15.7</v>
      </c>
      <c r="AY278" s="64"/>
      <c r="EG278" s="31">
        <v>77.319999999999993</v>
      </c>
      <c r="EH278" s="31">
        <v>84.98</v>
      </c>
      <c r="EI278" s="31" t="s">
        <v>1890</v>
      </c>
      <c r="EY278" s="31">
        <v>11.14</v>
      </c>
      <c r="EZ278" s="31">
        <v>10.33</v>
      </c>
      <c r="FR278" s="31" t="s">
        <v>374</v>
      </c>
      <c r="FT278" s="31">
        <v>18</v>
      </c>
    </row>
    <row r="279" spans="1:176" s="31" customFormat="1" x14ac:dyDescent="0.25">
      <c r="A279" s="31">
        <v>18</v>
      </c>
      <c r="B279" s="31" t="s">
        <v>357</v>
      </c>
      <c r="C279" s="31" t="s">
        <v>358</v>
      </c>
      <c r="D279" s="31">
        <v>2017</v>
      </c>
      <c r="E279" s="31">
        <v>2012</v>
      </c>
      <c r="F279" s="41" t="s">
        <v>371</v>
      </c>
      <c r="G279" s="31" t="s">
        <v>359</v>
      </c>
      <c r="H279" s="31">
        <v>40.716666666666669</v>
      </c>
      <c r="I279" s="31">
        <v>-77.916666666666671</v>
      </c>
      <c r="J279" s="31">
        <v>350</v>
      </c>
      <c r="N279" s="31">
        <v>975</v>
      </c>
      <c r="P279" s="56">
        <v>2</v>
      </c>
      <c r="Q279" s="56"/>
      <c r="R279" s="56" t="s">
        <v>373</v>
      </c>
      <c r="S279" s="56" t="s">
        <v>1565</v>
      </c>
      <c r="T279" s="56" t="s">
        <v>1565</v>
      </c>
      <c r="U279" s="56" t="s">
        <v>1565</v>
      </c>
      <c r="V279" s="56" t="s">
        <v>1908</v>
      </c>
      <c r="Z279" s="31" t="s">
        <v>531</v>
      </c>
      <c r="AD279" s="31" t="s">
        <v>1482</v>
      </c>
      <c r="AE279" s="31" t="s">
        <v>607</v>
      </c>
      <c r="AF279" s="152" t="s">
        <v>1761</v>
      </c>
      <c r="AG279" s="31" t="s">
        <v>160</v>
      </c>
      <c r="AH279" s="155" t="s">
        <v>1801</v>
      </c>
      <c r="AI279" s="31" t="s">
        <v>360</v>
      </c>
      <c r="AJ279" s="31" t="s">
        <v>360</v>
      </c>
      <c r="AK279" s="31" t="s">
        <v>212</v>
      </c>
      <c r="AO279" s="31" t="s">
        <v>361</v>
      </c>
      <c r="AP279" s="31" t="s">
        <v>361</v>
      </c>
      <c r="AQ279" s="31" t="s">
        <v>212</v>
      </c>
      <c r="AR279" s="31" t="s">
        <v>192</v>
      </c>
      <c r="AS279" s="31">
        <v>4</v>
      </c>
      <c r="AT279" s="31">
        <v>4</v>
      </c>
      <c r="AU279" s="31" t="s">
        <v>169</v>
      </c>
      <c r="AW279" s="31">
        <v>1901</v>
      </c>
      <c r="AX279" s="31">
        <v>17.899999999999999</v>
      </c>
      <c r="AY279" s="64"/>
      <c r="EG279" s="31">
        <v>77.319999999999993</v>
      </c>
      <c r="EH279" s="31">
        <v>88.13</v>
      </c>
      <c r="EI279" s="31" t="s">
        <v>1890</v>
      </c>
      <c r="EY279" s="31">
        <v>11.14</v>
      </c>
      <c r="EZ279" s="31">
        <v>12.67</v>
      </c>
      <c r="FR279" s="31" t="s">
        <v>374</v>
      </c>
      <c r="FT279" s="31">
        <v>18</v>
      </c>
    </row>
    <row r="280" spans="1:176" s="31" customFormat="1" x14ac:dyDescent="0.25">
      <c r="A280" s="31">
        <v>18</v>
      </c>
      <c r="B280" s="31" t="s">
        <v>357</v>
      </c>
      <c r="C280" s="31" t="s">
        <v>358</v>
      </c>
      <c r="D280" s="31">
        <v>2017</v>
      </c>
      <c r="E280" s="31">
        <v>2012</v>
      </c>
      <c r="F280" s="41" t="s">
        <v>371</v>
      </c>
      <c r="G280" s="31" t="s">
        <v>359</v>
      </c>
      <c r="H280" s="31">
        <v>40.716666666666669</v>
      </c>
      <c r="I280" s="31">
        <v>-77.916666666666671</v>
      </c>
      <c r="J280" s="31">
        <v>350</v>
      </c>
      <c r="N280" s="31">
        <v>975</v>
      </c>
      <c r="P280" s="56">
        <v>2</v>
      </c>
      <c r="Q280" s="56"/>
      <c r="R280" s="56" t="s">
        <v>373</v>
      </c>
      <c r="S280" s="56" t="s">
        <v>1565</v>
      </c>
      <c r="T280" s="56" t="s">
        <v>1565</v>
      </c>
      <c r="U280" s="56" t="s">
        <v>1565</v>
      </c>
      <c r="V280" s="56" t="s">
        <v>1908</v>
      </c>
      <c r="Z280" s="31" t="s">
        <v>531</v>
      </c>
      <c r="AD280" s="31" t="s">
        <v>1482</v>
      </c>
      <c r="AE280" s="31" t="s">
        <v>610</v>
      </c>
      <c r="AF280" s="152" t="s">
        <v>1288</v>
      </c>
      <c r="AG280" s="31" t="s">
        <v>160</v>
      </c>
      <c r="AH280" s="155" t="s">
        <v>1801</v>
      </c>
      <c r="AI280" s="31" t="s">
        <v>360</v>
      </c>
      <c r="AJ280" s="31" t="s">
        <v>360</v>
      </c>
      <c r="AK280" s="31" t="s">
        <v>212</v>
      </c>
      <c r="AO280" s="31" t="s">
        <v>361</v>
      </c>
      <c r="AP280" s="31" t="s">
        <v>361</v>
      </c>
      <c r="AQ280" s="31" t="s">
        <v>212</v>
      </c>
      <c r="AR280" s="31" t="s">
        <v>192</v>
      </c>
      <c r="AS280" s="31">
        <v>4</v>
      </c>
      <c r="AT280" s="31">
        <v>4</v>
      </c>
      <c r="AU280" s="31" t="s">
        <v>169</v>
      </c>
      <c r="AW280" s="31">
        <v>7165</v>
      </c>
      <c r="AX280" s="31">
        <v>24.2</v>
      </c>
      <c r="AY280" s="64"/>
      <c r="EG280" s="31">
        <v>77.319999999999993</v>
      </c>
      <c r="EH280" s="31">
        <v>89.74</v>
      </c>
      <c r="EI280" s="31" t="s">
        <v>1890</v>
      </c>
      <c r="EY280" s="31">
        <v>11.14</v>
      </c>
      <c r="EZ280" s="31">
        <v>11.23</v>
      </c>
      <c r="FR280" s="31" t="s">
        <v>374</v>
      </c>
      <c r="FT280" s="31">
        <v>18</v>
      </c>
    </row>
    <row r="281" spans="1:176" s="31" customFormat="1" x14ac:dyDescent="0.25">
      <c r="A281" s="31">
        <v>18</v>
      </c>
      <c r="B281" s="31" t="s">
        <v>357</v>
      </c>
      <c r="C281" s="31" t="s">
        <v>358</v>
      </c>
      <c r="D281" s="31">
        <v>2017</v>
      </c>
      <c r="E281" s="31">
        <v>2012</v>
      </c>
      <c r="F281" s="41" t="s">
        <v>371</v>
      </c>
      <c r="G281" s="31" t="s">
        <v>359</v>
      </c>
      <c r="H281" s="31">
        <v>40.716666666666669</v>
      </c>
      <c r="I281" s="31">
        <v>-77.916666666666671</v>
      </c>
      <c r="J281" s="31">
        <v>350</v>
      </c>
      <c r="N281" s="31">
        <v>975</v>
      </c>
      <c r="P281" s="56">
        <v>2</v>
      </c>
      <c r="Q281" s="56"/>
      <c r="R281" s="56" t="s">
        <v>373</v>
      </c>
      <c r="S281" s="56" t="s">
        <v>1565</v>
      </c>
      <c r="T281" s="56" t="s">
        <v>1565</v>
      </c>
      <c r="U281" s="56" t="s">
        <v>1565</v>
      </c>
      <c r="V281" s="56" t="s">
        <v>1908</v>
      </c>
      <c r="Z281" s="31" t="s">
        <v>531</v>
      </c>
      <c r="AD281" s="31" t="s">
        <v>1482</v>
      </c>
      <c r="AE281" s="31" t="s">
        <v>159</v>
      </c>
      <c r="AF281" s="152" t="s">
        <v>159</v>
      </c>
      <c r="AG281" s="31" t="s">
        <v>160</v>
      </c>
      <c r="AH281" s="155" t="s">
        <v>1801</v>
      </c>
      <c r="AI281" s="31" t="s">
        <v>360</v>
      </c>
      <c r="AJ281" s="31" t="s">
        <v>360</v>
      </c>
      <c r="AK281" s="31" t="s">
        <v>212</v>
      </c>
      <c r="AO281" s="31" t="s">
        <v>361</v>
      </c>
      <c r="AP281" s="31" t="s">
        <v>361</v>
      </c>
      <c r="AQ281" s="31" t="s">
        <v>212</v>
      </c>
      <c r="AR281" s="31" t="s">
        <v>192</v>
      </c>
      <c r="AS281" s="31">
        <v>4</v>
      </c>
      <c r="AT281" s="31">
        <v>4</v>
      </c>
      <c r="AU281" s="31" t="s">
        <v>169</v>
      </c>
      <c r="AW281" s="31">
        <v>7343</v>
      </c>
      <c r="AX281" s="31">
        <v>42.9</v>
      </c>
      <c r="AY281" s="64"/>
      <c r="EG281" s="31">
        <v>77.319999999999993</v>
      </c>
      <c r="EH281" s="31">
        <v>87.96</v>
      </c>
      <c r="EI281" s="31" t="s">
        <v>1890</v>
      </c>
      <c r="EY281" s="31">
        <v>11.14</v>
      </c>
      <c r="EZ281" s="31">
        <v>16.989999999999998</v>
      </c>
      <c r="FR281" s="31" t="s">
        <v>374</v>
      </c>
      <c r="FT281" s="31">
        <v>18</v>
      </c>
    </row>
    <row r="282" spans="1:176" s="31" customFormat="1" x14ac:dyDescent="0.25">
      <c r="A282" s="31">
        <v>18</v>
      </c>
      <c r="B282" s="31" t="s">
        <v>357</v>
      </c>
      <c r="C282" s="31" t="s">
        <v>358</v>
      </c>
      <c r="D282" s="31">
        <v>2017</v>
      </c>
      <c r="E282" s="31">
        <v>2012</v>
      </c>
      <c r="F282" s="41" t="s">
        <v>371</v>
      </c>
      <c r="G282" s="31" t="s">
        <v>359</v>
      </c>
      <c r="H282" s="31">
        <v>40.716666666666669</v>
      </c>
      <c r="I282" s="31">
        <v>-77.916666666666671</v>
      </c>
      <c r="J282" s="31">
        <v>350</v>
      </c>
      <c r="N282" s="31">
        <v>975</v>
      </c>
      <c r="P282" s="56">
        <v>2</v>
      </c>
      <c r="Q282" s="56"/>
      <c r="R282" s="56" t="s">
        <v>373</v>
      </c>
      <c r="S282" s="56" t="s">
        <v>1565</v>
      </c>
      <c r="T282" s="56" t="s">
        <v>1565</v>
      </c>
      <c r="U282" s="56" t="s">
        <v>1565</v>
      </c>
      <c r="V282" s="56" t="s">
        <v>1908</v>
      </c>
      <c r="Z282" s="31" t="s">
        <v>531</v>
      </c>
      <c r="AD282" s="31" t="s">
        <v>1482</v>
      </c>
      <c r="AE282" s="31" t="s">
        <v>1684</v>
      </c>
      <c r="AF282" s="152" t="s">
        <v>727</v>
      </c>
      <c r="AG282" s="31" t="s">
        <v>160</v>
      </c>
      <c r="AH282" s="155" t="s">
        <v>1801</v>
      </c>
      <c r="AI282" s="31" t="s">
        <v>360</v>
      </c>
      <c r="AJ282" s="31" t="s">
        <v>360</v>
      </c>
      <c r="AK282" s="31" t="s">
        <v>212</v>
      </c>
      <c r="AO282" s="31" t="s">
        <v>361</v>
      </c>
      <c r="AP282" s="31" t="s">
        <v>361</v>
      </c>
      <c r="AQ282" s="31" t="s">
        <v>212</v>
      </c>
      <c r="AR282" s="31" t="s">
        <v>192</v>
      </c>
      <c r="AS282" s="31">
        <v>4</v>
      </c>
      <c r="AT282" s="31">
        <v>4</v>
      </c>
      <c r="AU282" s="31" t="s">
        <v>169</v>
      </c>
      <c r="AW282" s="31">
        <v>5850</v>
      </c>
      <c r="AX282" s="31">
        <v>29.9</v>
      </c>
      <c r="AY282" s="64"/>
      <c r="EG282" s="31">
        <v>77.319999999999993</v>
      </c>
      <c r="EH282" s="31">
        <v>84.98</v>
      </c>
      <c r="EI282" s="31" t="s">
        <v>1890</v>
      </c>
      <c r="EY282" s="31">
        <v>11.14</v>
      </c>
      <c r="EZ282" s="31">
        <v>12.37</v>
      </c>
      <c r="FR282" s="31" t="s">
        <v>374</v>
      </c>
      <c r="FT282" s="31">
        <v>18</v>
      </c>
    </row>
    <row r="283" spans="1:176" s="31" customFormat="1" x14ac:dyDescent="0.25">
      <c r="A283" s="31">
        <v>18</v>
      </c>
      <c r="B283" s="31" t="s">
        <v>357</v>
      </c>
      <c r="C283" s="31" t="s">
        <v>358</v>
      </c>
      <c r="D283" s="31">
        <v>2017</v>
      </c>
      <c r="E283" s="31">
        <v>2012</v>
      </c>
      <c r="F283" s="41" t="s">
        <v>371</v>
      </c>
      <c r="G283" s="31" t="s">
        <v>359</v>
      </c>
      <c r="H283" s="31">
        <v>40.716666666666669</v>
      </c>
      <c r="I283" s="31">
        <v>-77.916666666666671</v>
      </c>
      <c r="J283" s="31">
        <v>350</v>
      </c>
      <c r="N283" s="31">
        <v>975</v>
      </c>
      <c r="P283" s="56">
        <v>2</v>
      </c>
      <c r="Q283" s="56"/>
      <c r="R283" s="56" t="s">
        <v>373</v>
      </c>
      <c r="S283" s="56" t="s">
        <v>1565</v>
      </c>
      <c r="T283" s="56" t="s">
        <v>1565</v>
      </c>
      <c r="U283" s="56" t="s">
        <v>1565</v>
      </c>
      <c r="V283" s="56" t="s">
        <v>1908</v>
      </c>
      <c r="Z283" s="31" t="s">
        <v>531</v>
      </c>
      <c r="AD283" s="31" t="s">
        <v>1482</v>
      </c>
      <c r="AE283" s="31" t="s">
        <v>1685</v>
      </c>
      <c r="AF283" s="152" t="s">
        <v>727</v>
      </c>
      <c r="AG283" s="31" t="s">
        <v>160</v>
      </c>
      <c r="AH283" s="155" t="s">
        <v>1801</v>
      </c>
      <c r="AI283" s="31" t="s">
        <v>360</v>
      </c>
      <c r="AJ283" s="31" t="s">
        <v>360</v>
      </c>
      <c r="AK283" s="31" t="s">
        <v>212</v>
      </c>
      <c r="AO283" s="31" t="s">
        <v>361</v>
      </c>
      <c r="AP283" s="31" t="s">
        <v>361</v>
      </c>
      <c r="AQ283" s="31" t="s">
        <v>212</v>
      </c>
      <c r="AR283" s="31" t="s">
        <v>192</v>
      </c>
      <c r="AS283" s="31">
        <v>4</v>
      </c>
      <c r="AT283" s="31">
        <v>4</v>
      </c>
      <c r="AU283" s="31" t="s">
        <v>169</v>
      </c>
      <c r="AW283" s="31">
        <v>1724</v>
      </c>
      <c r="AX283" s="31">
        <v>15.4</v>
      </c>
      <c r="AY283" s="64"/>
      <c r="EG283" s="31">
        <v>77.319999999999993</v>
      </c>
      <c r="EH283" s="31">
        <v>89.25</v>
      </c>
      <c r="EI283" s="31" t="s">
        <v>1890</v>
      </c>
      <c r="EY283" s="31">
        <v>11.14</v>
      </c>
      <c r="EZ283" s="31">
        <v>11.31</v>
      </c>
      <c r="FR283" s="31" t="s">
        <v>374</v>
      </c>
      <c r="FT283" s="31">
        <v>18</v>
      </c>
    </row>
    <row r="284" spans="1:176" s="31" customFormat="1" x14ac:dyDescent="0.25">
      <c r="A284" s="31">
        <v>18</v>
      </c>
      <c r="B284" s="31" t="s">
        <v>357</v>
      </c>
      <c r="C284" s="31" t="s">
        <v>358</v>
      </c>
      <c r="D284" s="31">
        <v>2017</v>
      </c>
      <c r="E284" s="31">
        <v>2012</v>
      </c>
      <c r="F284" s="41" t="s">
        <v>371</v>
      </c>
      <c r="G284" s="31" t="s">
        <v>359</v>
      </c>
      <c r="H284" s="31">
        <v>40.716666666666669</v>
      </c>
      <c r="I284" s="31">
        <v>-77.916666666666671</v>
      </c>
      <c r="J284" s="31">
        <v>350</v>
      </c>
      <c r="N284" s="31">
        <v>975</v>
      </c>
      <c r="P284" s="56">
        <v>2</v>
      </c>
      <c r="Q284" s="56"/>
      <c r="R284" s="56" t="s">
        <v>373</v>
      </c>
      <c r="S284" s="56" t="s">
        <v>1565</v>
      </c>
      <c r="T284" s="56" t="s">
        <v>1565</v>
      </c>
      <c r="U284" s="56" t="s">
        <v>1565</v>
      </c>
      <c r="V284" s="56" t="s">
        <v>1908</v>
      </c>
      <c r="Z284" s="31" t="s">
        <v>531</v>
      </c>
      <c r="AD284" s="31" t="s">
        <v>1482</v>
      </c>
      <c r="AE284" s="31" t="s">
        <v>1686</v>
      </c>
      <c r="AF284" s="152" t="s">
        <v>727</v>
      </c>
      <c r="AG284" s="31" t="s">
        <v>160</v>
      </c>
      <c r="AH284" s="155" t="s">
        <v>1801</v>
      </c>
      <c r="AI284" s="31" t="s">
        <v>360</v>
      </c>
      <c r="AJ284" s="31" t="s">
        <v>360</v>
      </c>
      <c r="AK284" s="31" t="s">
        <v>212</v>
      </c>
      <c r="AO284" s="31" t="s">
        <v>361</v>
      </c>
      <c r="AP284" s="31" t="s">
        <v>361</v>
      </c>
      <c r="AQ284" s="31" t="s">
        <v>212</v>
      </c>
      <c r="AR284" s="31" t="s">
        <v>192</v>
      </c>
      <c r="AS284" s="31">
        <v>4</v>
      </c>
      <c r="AT284" s="31">
        <v>4</v>
      </c>
      <c r="AU284" s="31" t="s">
        <v>169</v>
      </c>
      <c r="AW284" s="31">
        <v>6699</v>
      </c>
      <c r="AX284" s="31">
        <v>16.399999999999999</v>
      </c>
      <c r="AY284" s="64"/>
      <c r="EG284" s="31">
        <v>77.319999999999993</v>
      </c>
      <c r="EH284" s="31">
        <v>87.97</v>
      </c>
      <c r="EI284" s="31" t="s">
        <v>1890</v>
      </c>
      <c r="EY284" s="31">
        <v>11.14</v>
      </c>
      <c r="EZ284" s="31">
        <v>17.8</v>
      </c>
      <c r="FR284" s="31" t="s">
        <v>374</v>
      </c>
      <c r="FT284" s="31">
        <v>18</v>
      </c>
    </row>
    <row r="285" spans="1:176" s="31" customFormat="1" x14ac:dyDescent="0.25">
      <c r="A285" s="31">
        <v>18</v>
      </c>
      <c r="B285" s="31" t="s">
        <v>357</v>
      </c>
      <c r="C285" s="31" t="s">
        <v>358</v>
      </c>
      <c r="D285" s="31">
        <v>2017</v>
      </c>
      <c r="E285" s="31">
        <v>2012</v>
      </c>
      <c r="F285" s="41" t="s">
        <v>371</v>
      </c>
      <c r="G285" s="31" t="s">
        <v>359</v>
      </c>
      <c r="H285" s="31">
        <v>40.716666666666669</v>
      </c>
      <c r="I285" s="31">
        <v>-77.916666666666671</v>
      </c>
      <c r="J285" s="31">
        <v>350</v>
      </c>
      <c r="N285" s="31">
        <v>975</v>
      </c>
      <c r="P285" s="56">
        <v>2</v>
      </c>
      <c r="Q285" s="56"/>
      <c r="R285" s="56" t="s">
        <v>373</v>
      </c>
      <c r="S285" s="56" t="s">
        <v>1565</v>
      </c>
      <c r="T285" s="56" t="s">
        <v>1565</v>
      </c>
      <c r="U285" s="56" t="s">
        <v>1565</v>
      </c>
      <c r="V285" s="56" t="s">
        <v>1908</v>
      </c>
      <c r="Z285" s="31" t="s">
        <v>531</v>
      </c>
      <c r="AD285" s="31" t="s">
        <v>1482</v>
      </c>
      <c r="AE285" s="31" t="s">
        <v>1687</v>
      </c>
      <c r="AF285" s="152" t="s">
        <v>727</v>
      </c>
      <c r="AG285" s="31" t="s">
        <v>160</v>
      </c>
      <c r="AH285" s="155" t="s">
        <v>1801</v>
      </c>
      <c r="AI285" s="31" t="s">
        <v>360</v>
      </c>
      <c r="AJ285" s="31" t="s">
        <v>360</v>
      </c>
      <c r="AK285" s="31" t="s">
        <v>212</v>
      </c>
      <c r="AO285" s="31" t="s">
        <v>361</v>
      </c>
      <c r="AP285" s="31" t="s">
        <v>361</v>
      </c>
      <c r="AQ285" s="31" t="s">
        <v>212</v>
      </c>
      <c r="AR285" s="31" t="s">
        <v>192</v>
      </c>
      <c r="AS285" s="31">
        <v>4</v>
      </c>
      <c r="AT285" s="31">
        <v>4</v>
      </c>
      <c r="AU285" s="31" t="s">
        <v>169</v>
      </c>
      <c r="AW285" s="31">
        <v>6997</v>
      </c>
      <c r="AX285" s="31">
        <v>35.9</v>
      </c>
      <c r="AY285" s="64"/>
      <c r="EG285" s="31">
        <v>77.319999999999993</v>
      </c>
      <c r="EH285" s="31">
        <v>86.26</v>
      </c>
      <c r="EI285" s="31" t="s">
        <v>1890</v>
      </c>
      <c r="EY285" s="31">
        <v>11.14</v>
      </c>
      <c r="EZ285" s="31">
        <v>14</v>
      </c>
      <c r="FR285" s="31" t="s">
        <v>374</v>
      </c>
      <c r="FT285" s="31">
        <v>18</v>
      </c>
    </row>
    <row r="286" spans="1:176" s="31" customFormat="1" x14ac:dyDescent="0.25">
      <c r="A286" s="31">
        <v>18</v>
      </c>
      <c r="B286" s="31" t="s">
        <v>357</v>
      </c>
      <c r="C286" s="31" t="s">
        <v>358</v>
      </c>
      <c r="D286" s="31">
        <v>2017</v>
      </c>
      <c r="E286" s="31">
        <v>2012</v>
      </c>
      <c r="F286" s="41" t="s">
        <v>371</v>
      </c>
      <c r="G286" s="31" t="s">
        <v>359</v>
      </c>
      <c r="H286" s="31">
        <v>40.716666666666669</v>
      </c>
      <c r="I286" s="31">
        <v>-77.916666666666671</v>
      </c>
      <c r="J286" s="31">
        <v>350</v>
      </c>
      <c r="N286" s="31">
        <v>975</v>
      </c>
      <c r="P286" s="56">
        <v>2</v>
      </c>
      <c r="Q286" s="56"/>
      <c r="R286" s="56" t="s">
        <v>373</v>
      </c>
      <c r="S286" s="56" t="s">
        <v>1565</v>
      </c>
      <c r="T286" s="56" t="s">
        <v>1565</v>
      </c>
      <c r="U286" s="56" t="s">
        <v>1565</v>
      </c>
      <c r="V286" s="56" t="s">
        <v>1908</v>
      </c>
      <c r="Z286" s="31" t="s">
        <v>531</v>
      </c>
      <c r="AD286" s="31" t="s">
        <v>1482</v>
      </c>
      <c r="AE286" s="31" t="s">
        <v>1688</v>
      </c>
      <c r="AF286" s="152" t="s">
        <v>727</v>
      </c>
      <c r="AG286" s="31" t="s">
        <v>160</v>
      </c>
      <c r="AH286" s="155" t="s">
        <v>1801</v>
      </c>
      <c r="AI286" s="31" t="s">
        <v>360</v>
      </c>
      <c r="AJ286" s="31" t="s">
        <v>360</v>
      </c>
      <c r="AK286" s="31" t="s">
        <v>212</v>
      </c>
      <c r="AO286" s="31" t="s">
        <v>361</v>
      </c>
      <c r="AP286" s="31" t="s">
        <v>361</v>
      </c>
      <c r="AQ286" s="31" t="s">
        <v>212</v>
      </c>
      <c r="AR286" s="31" t="s">
        <v>192</v>
      </c>
      <c r="AS286" s="31">
        <v>4</v>
      </c>
      <c r="AT286" s="31">
        <v>4</v>
      </c>
      <c r="AU286" s="31" t="s">
        <v>169</v>
      </c>
      <c r="AW286" s="31">
        <v>5374</v>
      </c>
      <c r="AX286" s="31">
        <v>11</v>
      </c>
      <c r="AY286" s="64"/>
      <c r="EG286" s="31">
        <v>77.319999999999993</v>
      </c>
      <c r="EH286" s="31">
        <v>89.26</v>
      </c>
      <c r="EI286" s="31" t="s">
        <v>1890</v>
      </c>
      <c r="EY286" s="31">
        <v>11.14</v>
      </c>
      <c r="EZ286" s="31">
        <v>14.56</v>
      </c>
      <c r="FR286" s="31" t="s">
        <v>374</v>
      </c>
      <c r="FT286" s="31">
        <v>18</v>
      </c>
    </row>
    <row r="287" spans="1:176" s="31" customFormat="1" x14ac:dyDescent="0.25">
      <c r="A287" s="31">
        <v>18</v>
      </c>
      <c r="B287" s="31" t="s">
        <v>357</v>
      </c>
      <c r="C287" s="31" t="s">
        <v>358</v>
      </c>
      <c r="D287" s="31">
        <v>2017</v>
      </c>
      <c r="E287" s="31">
        <v>2012</v>
      </c>
      <c r="F287" s="41" t="s">
        <v>371</v>
      </c>
      <c r="G287" s="31" t="s">
        <v>359</v>
      </c>
      <c r="H287" s="31">
        <v>40.716666666666669</v>
      </c>
      <c r="I287" s="31">
        <v>-77.916666666666671</v>
      </c>
      <c r="J287" s="31">
        <v>350</v>
      </c>
      <c r="N287" s="31">
        <v>975</v>
      </c>
      <c r="P287" s="56">
        <v>2</v>
      </c>
      <c r="Q287" s="56"/>
      <c r="R287" s="56" t="s">
        <v>373</v>
      </c>
      <c r="S287" s="56" t="s">
        <v>1565</v>
      </c>
      <c r="T287" s="56" t="s">
        <v>1565</v>
      </c>
      <c r="U287" s="56" t="s">
        <v>1565</v>
      </c>
      <c r="V287" s="56" t="s">
        <v>1908</v>
      </c>
      <c r="Z287" s="31" t="s">
        <v>531</v>
      </c>
      <c r="AD287" s="31" t="s">
        <v>1482</v>
      </c>
      <c r="AE287" s="31" t="s">
        <v>362</v>
      </c>
      <c r="AF287" s="152" t="s">
        <v>727</v>
      </c>
      <c r="AG287" s="31" t="s">
        <v>160</v>
      </c>
      <c r="AH287" s="155" t="s">
        <v>1801</v>
      </c>
      <c r="AI287" s="31" t="s">
        <v>360</v>
      </c>
      <c r="AJ287" s="31" t="s">
        <v>360</v>
      </c>
      <c r="AK287" s="31" t="s">
        <v>212</v>
      </c>
      <c r="AO287" s="31" t="s">
        <v>361</v>
      </c>
      <c r="AP287" s="31" t="s">
        <v>361</v>
      </c>
      <c r="AQ287" s="31" t="s">
        <v>212</v>
      </c>
      <c r="AR287" s="31" t="s">
        <v>192</v>
      </c>
      <c r="AS287" s="31">
        <v>4</v>
      </c>
      <c r="AT287" s="31">
        <v>4</v>
      </c>
      <c r="AU287" s="31" t="s">
        <v>169</v>
      </c>
      <c r="AW287" s="31">
        <v>7143</v>
      </c>
      <c r="AX287" s="31">
        <v>15</v>
      </c>
      <c r="AY287" s="64"/>
      <c r="EG287" s="31">
        <v>77.319999999999993</v>
      </c>
      <c r="EH287" s="31">
        <v>94.47</v>
      </c>
      <c r="EI287" s="31" t="s">
        <v>1890</v>
      </c>
      <c r="EY287" s="31">
        <v>11.14</v>
      </c>
      <c r="EZ287" s="31">
        <v>15.92</v>
      </c>
      <c r="FR287" s="31" t="s">
        <v>374</v>
      </c>
      <c r="FT287" s="31">
        <v>18</v>
      </c>
    </row>
    <row r="288" spans="1:176" s="39" customFormat="1" x14ac:dyDescent="0.25">
      <c r="A288" s="39">
        <v>19</v>
      </c>
      <c r="B288" s="39" t="s">
        <v>376</v>
      </c>
      <c r="C288" s="39" t="s">
        <v>377</v>
      </c>
      <c r="D288" s="39">
        <v>1986</v>
      </c>
      <c r="E288" s="39">
        <v>1981</v>
      </c>
      <c r="F288" s="39" t="s">
        <v>342</v>
      </c>
      <c r="G288" s="39" t="s">
        <v>378</v>
      </c>
      <c r="H288" s="39">
        <v>33.32</v>
      </c>
      <c r="I288" s="39">
        <v>-84.43</v>
      </c>
      <c r="J288" s="39">
        <v>246.5</v>
      </c>
      <c r="P288" s="58">
        <v>1</v>
      </c>
      <c r="Q288" s="58"/>
      <c r="R288" s="58"/>
      <c r="S288" s="58" t="s">
        <v>1556</v>
      </c>
      <c r="T288" s="58" t="s">
        <v>1556</v>
      </c>
      <c r="U288" s="58" t="s">
        <v>1565</v>
      </c>
      <c r="V288" s="58" t="s">
        <v>1904</v>
      </c>
      <c r="Z288" s="39" t="s">
        <v>278</v>
      </c>
      <c r="AD288" s="39" t="s">
        <v>1483</v>
      </c>
      <c r="AE288" s="39" t="s">
        <v>159</v>
      </c>
      <c r="AF288" s="152" t="s">
        <v>159</v>
      </c>
      <c r="AG288" s="39" t="s">
        <v>258</v>
      </c>
      <c r="AH288" s="154" t="s">
        <v>258</v>
      </c>
      <c r="AL288" s="39" t="s">
        <v>256</v>
      </c>
      <c r="AM288" s="39" t="s">
        <v>256</v>
      </c>
      <c r="AN288" s="39" t="s">
        <v>212</v>
      </c>
      <c r="AO288" s="39" t="s">
        <v>382</v>
      </c>
      <c r="AP288" s="39" t="s">
        <v>382</v>
      </c>
      <c r="AR288" s="39" t="s">
        <v>147</v>
      </c>
      <c r="AS288" s="39">
        <v>4</v>
      </c>
      <c r="AT288" s="39">
        <v>4</v>
      </c>
      <c r="AU288" s="39" t="s">
        <v>379</v>
      </c>
      <c r="AW288" s="39">
        <f>3.33*1000</f>
        <v>3330</v>
      </c>
      <c r="AX288" s="39">
        <f>3.33/1.09*10</f>
        <v>30.550458715596328</v>
      </c>
      <c r="AY288" s="63"/>
      <c r="AZ288" s="39" t="s">
        <v>384</v>
      </c>
      <c r="BD288" s="39">
        <f>3.43*1000</f>
        <v>3430</v>
      </c>
      <c r="BE288" s="39">
        <f>2.83*1000</f>
        <v>2830</v>
      </c>
      <c r="BF288" s="39" t="s">
        <v>380</v>
      </c>
      <c r="BJ288" s="39">
        <f>7.9/1000*100</f>
        <v>0.79</v>
      </c>
      <c r="BK288" s="39">
        <v>0.87</v>
      </c>
      <c r="BL288" s="39" t="s">
        <v>195</v>
      </c>
      <c r="BM288" s="39">
        <f>0.58*1000</f>
        <v>580</v>
      </c>
      <c r="BN288" s="39">
        <v>650</v>
      </c>
      <c r="BO288" s="39" t="s">
        <v>1863</v>
      </c>
      <c r="BP288" s="39">
        <v>55</v>
      </c>
      <c r="BQ288" s="39">
        <v>57</v>
      </c>
      <c r="BS288" s="39">
        <v>105</v>
      </c>
      <c r="BT288" s="39">
        <v>97</v>
      </c>
      <c r="BV288" s="39">
        <v>6.7</v>
      </c>
      <c r="BW288" s="39">
        <v>6.7</v>
      </c>
      <c r="EJ288" s="12"/>
      <c r="EL288" s="15"/>
      <c r="FR288" s="39" t="s">
        <v>394</v>
      </c>
      <c r="FT288" s="39">
        <v>19</v>
      </c>
    </row>
    <row r="289" spans="1:176" s="39" customFormat="1" x14ac:dyDescent="0.25">
      <c r="A289" s="39">
        <v>19</v>
      </c>
      <c r="B289" s="39" t="s">
        <v>376</v>
      </c>
      <c r="C289" s="39" t="s">
        <v>377</v>
      </c>
      <c r="D289" s="39">
        <v>1986</v>
      </c>
      <c r="E289" s="39">
        <v>1981</v>
      </c>
      <c r="F289" s="39" t="s">
        <v>342</v>
      </c>
      <c r="G289" s="39" t="s">
        <v>378</v>
      </c>
      <c r="H289" s="39">
        <v>33.32</v>
      </c>
      <c r="I289" s="39">
        <v>-84.43</v>
      </c>
      <c r="J289" s="39">
        <v>246.5</v>
      </c>
      <c r="P289" s="58">
        <v>1</v>
      </c>
      <c r="Q289" s="58"/>
      <c r="R289" s="58"/>
      <c r="S289" s="58" t="s">
        <v>1556</v>
      </c>
      <c r="T289" s="58" t="s">
        <v>1556</v>
      </c>
      <c r="U289" s="58" t="s">
        <v>1565</v>
      </c>
      <c r="V289" s="58" t="s">
        <v>1904</v>
      </c>
      <c r="Z289" s="39" t="s">
        <v>278</v>
      </c>
      <c r="AD289" s="39" t="s">
        <v>1483</v>
      </c>
      <c r="AE289" s="39" t="s">
        <v>1701</v>
      </c>
      <c r="AF289" s="152" t="s">
        <v>666</v>
      </c>
      <c r="AG289" s="39" t="s">
        <v>258</v>
      </c>
      <c r="AH289" s="154" t="s">
        <v>258</v>
      </c>
      <c r="AL289" s="39" t="s">
        <v>256</v>
      </c>
      <c r="AM289" s="39" t="s">
        <v>256</v>
      </c>
      <c r="AN289" s="39" t="s">
        <v>212</v>
      </c>
      <c r="AO289" s="39" t="s">
        <v>382</v>
      </c>
      <c r="AP289" s="39" t="s">
        <v>382</v>
      </c>
      <c r="AR289" s="39" t="s">
        <v>147</v>
      </c>
      <c r="AS289" s="39">
        <v>4</v>
      </c>
      <c r="AT289" s="39">
        <v>4</v>
      </c>
      <c r="AU289" s="39" t="s">
        <v>379</v>
      </c>
      <c r="AW289" s="39">
        <f>3.53*1000</f>
        <v>3530</v>
      </c>
      <c r="AX289" s="39">
        <f>3.53*10/2.92</f>
        <v>12.08904109589041</v>
      </c>
      <c r="AY289" s="63"/>
      <c r="AZ289" s="39" t="s">
        <v>384</v>
      </c>
      <c r="BD289" s="39">
        <f t="shared" ref="BD289:BD292" si="44">3.43*1000</f>
        <v>3430</v>
      </c>
      <c r="BE289" s="39">
        <f>3.68*1000</f>
        <v>3680</v>
      </c>
      <c r="BF289" s="39" t="s">
        <v>380</v>
      </c>
      <c r="BJ289" s="39">
        <f t="shared" ref="BJ289:BJ292" si="45">7.9/1000*100</f>
        <v>0.79</v>
      </c>
      <c r="BK289" s="39">
        <v>0.84</v>
      </c>
      <c r="BL289" s="39" t="s">
        <v>195</v>
      </c>
      <c r="BM289" s="39">
        <f t="shared" ref="BM289:BM292" si="46">0.58*1000</f>
        <v>580</v>
      </c>
      <c r="BN289" s="39">
        <v>650</v>
      </c>
      <c r="BO289" s="39" t="s">
        <v>1863</v>
      </c>
      <c r="BP289" s="39">
        <v>55</v>
      </c>
      <c r="BQ289" s="39">
        <v>38</v>
      </c>
      <c r="BS289" s="39">
        <v>105</v>
      </c>
      <c r="BT289" s="39">
        <v>96</v>
      </c>
      <c r="BV289" s="39">
        <v>6.7</v>
      </c>
      <c r="BW289" s="39">
        <v>6.2</v>
      </c>
      <c r="EJ289" s="12"/>
      <c r="EL289" s="15"/>
      <c r="FR289" s="39" t="s">
        <v>394</v>
      </c>
      <c r="FT289" s="39">
        <v>19</v>
      </c>
    </row>
    <row r="290" spans="1:176" s="39" customFormat="1" x14ac:dyDescent="0.25">
      <c r="A290" s="39">
        <v>19</v>
      </c>
      <c r="B290" s="39" t="s">
        <v>376</v>
      </c>
      <c r="C290" s="39" t="s">
        <v>377</v>
      </c>
      <c r="D290" s="39">
        <v>1986</v>
      </c>
      <c r="E290" s="39">
        <v>1981</v>
      </c>
      <c r="F290" s="39" t="s">
        <v>342</v>
      </c>
      <c r="G290" s="39" t="s">
        <v>378</v>
      </c>
      <c r="H290" s="39">
        <v>33.32</v>
      </c>
      <c r="I290" s="39">
        <v>-84.43</v>
      </c>
      <c r="J290" s="39">
        <v>246.5</v>
      </c>
      <c r="P290" s="58">
        <v>1</v>
      </c>
      <c r="Q290" s="58"/>
      <c r="R290" s="58"/>
      <c r="S290" s="58" t="s">
        <v>1556</v>
      </c>
      <c r="T290" s="58" t="s">
        <v>1556</v>
      </c>
      <c r="U290" s="58" t="s">
        <v>1565</v>
      </c>
      <c r="V290" s="58" t="s">
        <v>1904</v>
      </c>
      <c r="Z290" s="39" t="s">
        <v>278</v>
      </c>
      <c r="AD290" s="39" t="s">
        <v>1483</v>
      </c>
      <c r="AE290" s="39" t="s">
        <v>1712</v>
      </c>
      <c r="AF290" s="152" t="s">
        <v>666</v>
      </c>
      <c r="AG290" s="39" t="s">
        <v>258</v>
      </c>
      <c r="AH290" s="154" t="s">
        <v>258</v>
      </c>
      <c r="AL290" s="39" t="s">
        <v>256</v>
      </c>
      <c r="AM290" s="39" t="s">
        <v>256</v>
      </c>
      <c r="AN290" s="39" t="s">
        <v>212</v>
      </c>
      <c r="AO290" s="39" t="s">
        <v>382</v>
      </c>
      <c r="AP290" s="39" t="s">
        <v>382</v>
      </c>
      <c r="AR290" s="39" t="s">
        <v>147</v>
      </c>
      <c r="AS290" s="39">
        <v>4</v>
      </c>
      <c r="AT290" s="39">
        <v>4</v>
      </c>
      <c r="AU290" s="39" t="s">
        <v>379</v>
      </c>
      <c r="AW290" s="39">
        <f>2.96*1000</f>
        <v>2960</v>
      </c>
      <c r="AX290" s="39">
        <f>2.96/2.77*10</f>
        <v>10.685920577617329</v>
      </c>
      <c r="AY290" s="63"/>
      <c r="AZ290" s="39" t="s">
        <v>384</v>
      </c>
      <c r="BD290" s="39">
        <f t="shared" si="44"/>
        <v>3430</v>
      </c>
      <c r="BE290" s="39">
        <f>3.47*1000</f>
        <v>3470</v>
      </c>
      <c r="BF290" s="39" t="s">
        <v>380</v>
      </c>
      <c r="BJ290" s="39">
        <f t="shared" si="45"/>
        <v>0.79</v>
      </c>
      <c r="BK290" s="39">
        <v>1</v>
      </c>
      <c r="BL290" s="39" t="s">
        <v>195</v>
      </c>
      <c r="BM290" s="39">
        <f t="shared" si="46"/>
        <v>580</v>
      </c>
      <c r="BN290" s="39">
        <v>810</v>
      </c>
      <c r="BO290" s="39" t="s">
        <v>1863</v>
      </c>
      <c r="BP290" s="39">
        <v>55</v>
      </c>
      <c r="BQ290" s="39">
        <v>38</v>
      </c>
      <c r="BS290" s="39">
        <v>105</v>
      </c>
      <c r="BT290" s="39">
        <v>130</v>
      </c>
      <c r="BV290" s="39">
        <v>6.7</v>
      </c>
      <c r="BW290" s="39">
        <v>6.3</v>
      </c>
      <c r="EJ290" s="12"/>
      <c r="EL290" s="15"/>
      <c r="FR290" s="39" t="s">
        <v>394</v>
      </c>
      <c r="FT290" s="39">
        <v>19</v>
      </c>
    </row>
    <row r="291" spans="1:176" s="39" customFormat="1" x14ac:dyDescent="0.25">
      <c r="A291" s="39">
        <v>19</v>
      </c>
      <c r="B291" s="39" t="s">
        <v>376</v>
      </c>
      <c r="C291" s="39" t="s">
        <v>377</v>
      </c>
      <c r="D291" s="39">
        <v>1986</v>
      </c>
      <c r="E291" s="39">
        <v>1981</v>
      </c>
      <c r="F291" s="39" t="s">
        <v>342</v>
      </c>
      <c r="G291" s="39" t="s">
        <v>378</v>
      </c>
      <c r="H291" s="39">
        <v>33.32</v>
      </c>
      <c r="I291" s="39">
        <v>-84.43</v>
      </c>
      <c r="J291" s="39">
        <v>246.5</v>
      </c>
      <c r="P291" s="58">
        <v>1</v>
      </c>
      <c r="Q291" s="58"/>
      <c r="R291" s="58"/>
      <c r="S291" s="58" t="s">
        <v>1556</v>
      </c>
      <c r="T291" s="58" t="s">
        <v>1556</v>
      </c>
      <c r="U291" s="58" t="s">
        <v>1565</v>
      </c>
      <c r="V291" s="58" t="s">
        <v>1904</v>
      </c>
      <c r="Z291" s="39" t="s">
        <v>278</v>
      </c>
      <c r="AD291" s="39" t="s">
        <v>1483</v>
      </c>
      <c r="AE291" s="39" t="s">
        <v>281</v>
      </c>
      <c r="AF291" s="152" t="s">
        <v>666</v>
      </c>
      <c r="AG291" s="39" t="s">
        <v>258</v>
      </c>
      <c r="AH291" s="154" t="s">
        <v>258</v>
      </c>
      <c r="AL291" s="39" t="s">
        <v>256</v>
      </c>
      <c r="AM291" s="39" t="s">
        <v>256</v>
      </c>
      <c r="AN291" s="39" t="s">
        <v>212</v>
      </c>
      <c r="AO291" s="39" t="s">
        <v>382</v>
      </c>
      <c r="AP291" s="39" t="s">
        <v>382</v>
      </c>
      <c r="AR291" s="39" t="s">
        <v>147</v>
      </c>
      <c r="AS291" s="39">
        <v>4</v>
      </c>
      <c r="AT291" s="39">
        <v>4</v>
      </c>
      <c r="AU291" s="39" t="s">
        <v>379</v>
      </c>
      <c r="AW291" s="39">
        <f>4.06*1000</f>
        <v>4059.9999999999995</v>
      </c>
      <c r="AX291" s="39">
        <f>4.06/3.01*10</f>
        <v>13.488372093023255</v>
      </c>
      <c r="AY291" s="63"/>
      <c r="AZ291" s="39" t="s">
        <v>384</v>
      </c>
      <c r="BD291" s="39">
        <f t="shared" si="44"/>
        <v>3430</v>
      </c>
      <c r="BE291" s="39">
        <f>4.17*1000</f>
        <v>4170</v>
      </c>
      <c r="BF291" s="39" t="s">
        <v>380</v>
      </c>
      <c r="BJ291" s="39">
        <f t="shared" si="45"/>
        <v>0.79</v>
      </c>
      <c r="BK291" s="39">
        <v>0.97</v>
      </c>
      <c r="BL291" s="39" t="s">
        <v>195</v>
      </c>
      <c r="BM291" s="39">
        <f t="shared" si="46"/>
        <v>580</v>
      </c>
      <c r="BN291" s="39">
        <v>800</v>
      </c>
      <c r="BO291" s="39" t="s">
        <v>1863</v>
      </c>
      <c r="BP291" s="39">
        <v>55</v>
      </c>
      <c r="BQ291" s="39">
        <v>33</v>
      </c>
      <c r="BS291" s="39">
        <v>105</v>
      </c>
      <c r="BT291" s="39">
        <v>127</v>
      </c>
      <c r="BV291" s="39">
        <v>6.7</v>
      </c>
      <c r="BW291" s="39">
        <v>6.3</v>
      </c>
      <c r="EJ291" s="12"/>
      <c r="EL291" s="15"/>
      <c r="FR291" s="39" t="s">
        <v>394</v>
      </c>
      <c r="FT291" s="39">
        <v>19</v>
      </c>
    </row>
    <row r="292" spans="1:176" s="39" customFormat="1" x14ac:dyDescent="0.25">
      <c r="A292" s="39">
        <v>19</v>
      </c>
      <c r="B292" s="39" t="s">
        <v>376</v>
      </c>
      <c r="C292" s="39" t="s">
        <v>377</v>
      </c>
      <c r="D292" s="39">
        <v>1986</v>
      </c>
      <c r="E292" s="39">
        <v>1981</v>
      </c>
      <c r="F292" s="39" t="s">
        <v>342</v>
      </c>
      <c r="G292" s="39" t="s">
        <v>378</v>
      </c>
      <c r="H292" s="39">
        <v>33.32</v>
      </c>
      <c r="I292" s="39">
        <v>-84.43</v>
      </c>
      <c r="J292" s="39">
        <v>246.5</v>
      </c>
      <c r="P292" s="58">
        <v>1</v>
      </c>
      <c r="Q292" s="58"/>
      <c r="R292" s="58"/>
      <c r="S292" s="58" t="s">
        <v>1556</v>
      </c>
      <c r="T292" s="58" t="s">
        <v>1556</v>
      </c>
      <c r="U292" s="58" t="s">
        <v>1565</v>
      </c>
      <c r="V292" s="58" t="s">
        <v>1904</v>
      </c>
      <c r="Z292" s="39" t="s">
        <v>278</v>
      </c>
      <c r="AD292" s="39" t="s">
        <v>1483</v>
      </c>
      <c r="AE292" s="39" t="s">
        <v>1713</v>
      </c>
      <c r="AF292" s="152" t="s">
        <v>666</v>
      </c>
      <c r="AG292" s="39" t="s">
        <v>258</v>
      </c>
      <c r="AH292" s="154" t="s">
        <v>258</v>
      </c>
      <c r="AL292" s="39" t="s">
        <v>256</v>
      </c>
      <c r="AM292" s="39" t="s">
        <v>256</v>
      </c>
      <c r="AN292" s="39" t="s">
        <v>212</v>
      </c>
      <c r="AO292" s="39" t="s">
        <v>382</v>
      </c>
      <c r="AP292" s="39" t="s">
        <v>382</v>
      </c>
      <c r="AR292" s="39" t="s">
        <v>147</v>
      </c>
      <c r="AS292" s="39">
        <v>4</v>
      </c>
      <c r="AT292" s="39">
        <v>4</v>
      </c>
      <c r="AU292" s="39" t="s">
        <v>379</v>
      </c>
      <c r="AW292" s="39">
        <f>3.96*1000</f>
        <v>3960</v>
      </c>
      <c r="AX292" s="39">
        <f>3.96/2.96*10</f>
        <v>13.378378378378379</v>
      </c>
      <c r="AY292" s="63"/>
      <c r="AZ292" s="39" t="s">
        <v>384</v>
      </c>
      <c r="BD292" s="39">
        <f t="shared" si="44"/>
        <v>3430</v>
      </c>
      <c r="BE292" s="39">
        <f>3.81*1000</f>
        <v>3810</v>
      </c>
      <c r="BF292" s="39" t="s">
        <v>380</v>
      </c>
      <c r="BJ292" s="39">
        <f t="shared" si="45"/>
        <v>0.79</v>
      </c>
      <c r="BK292" s="39">
        <v>1.02</v>
      </c>
      <c r="BL292" s="39" t="s">
        <v>195</v>
      </c>
      <c r="BM292" s="39">
        <f t="shared" si="46"/>
        <v>580</v>
      </c>
      <c r="BN292" s="39">
        <v>630</v>
      </c>
      <c r="BO292" s="39" t="s">
        <v>1863</v>
      </c>
      <c r="BP292" s="39">
        <v>55</v>
      </c>
      <c r="BQ292" s="39">
        <v>43</v>
      </c>
      <c r="BS292" s="39">
        <v>105</v>
      </c>
      <c r="BT292" s="39">
        <v>104</v>
      </c>
      <c r="BV292" s="39">
        <v>6.7</v>
      </c>
      <c r="BW292" s="39">
        <v>6.3</v>
      </c>
      <c r="EJ292" s="12"/>
      <c r="EL292" s="15"/>
      <c r="FR292" s="39" t="s">
        <v>394</v>
      </c>
      <c r="FT292" s="39">
        <v>19</v>
      </c>
    </row>
    <row r="293" spans="1:176" s="26" customFormat="1" x14ac:dyDescent="0.25">
      <c r="A293" s="26">
        <v>19</v>
      </c>
      <c r="B293" s="26" t="s">
        <v>376</v>
      </c>
      <c r="C293" s="26" t="s">
        <v>377</v>
      </c>
      <c r="D293" s="26">
        <v>1986</v>
      </c>
      <c r="E293" s="26">
        <v>1982</v>
      </c>
      <c r="F293" s="26" t="s">
        <v>342</v>
      </c>
      <c r="G293" s="26" t="s">
        <v>378</v>
      </c>
      <c r="H293" s="26">
        <v>33.32</v>
      </c>
      <c r="I293" s="26">
        <v>-84.43</v>
      </c>
      <c r="J293" s="26">
        <v>246.5</v>
      </c>
      <c r="P293" s="52">
        <v>2</v>
      </c>
      <c r="Q293" s="52"/>
      <c r="R293" s="52"/>
      <c r="S293" s="52" t="s">
        <v>1557</v>
      </c>
      <c r="T293" s="52" t="s">
        <v>1556</v>
      </c>
      <c r="U293" s="52" t="s">
        <v>1565</v>
      </c>
      <c r="V293" s="52" t="s">
        <v>1904</v>
      </c>
      <c r="Z293" s="26" t="s">
        <v>278</v>
      </c>
      <c r="AD293" s="26" t="s">
        <v>1483</v>
      </c>
      <c r="AE293" s="26" t="s">
        <v>159</v>
      </c>
      <c r="AF293" s="152" t="s">
        <v>159</v>
      </c>
      <c r="AG293" s="26" t="s">
        <v>258</v>
      </c>
      <c r="AH293" s="154" t="s">
        <v>258</v>
      </c>
      <c r="AL293" s="26" t="s">
        <v>256</v>
      </c>
      <c r="AM293" s="26" t="s">
        <v>256</v>
      </c>
      <c r="AN293" s="26" t="s">
        <v>212</v>
      </c>
      <c r="AO293" s="39" t="s">
        <v>382</v>
      </c>
      <c r="AP293" s="39" t="s">
        <v>382</v>
      </c>
      <c r="AQ293" s="39"/>
      <c r="AR293" s="26" t="s">
        <v>147</v>
      </c>
      <c r="AS293" s="26">
        <v>4</v>
      </c>
      <c r="AT293" s="26">
        <v>4</v>
      </c>
      <c r="AU293" s="26" t="s">
        <v>379</v>
      </c>
      <c r="AW293" s="26">
        <f>3.93*1000</f>
        <v>3930</v>
      </c>
      <c r="AX293" s="26">
        <f>3.93/0.89*10</f>
        <v>44.157303370786522</v>
      </c>
      <c r="AY293" s="63"/>
      <c r="AZ293" s="39" t="s">
        <v>384</v>
      </c>
      <c r="BD293" s="26">
        <f>2.92*1000</f>
        <v>2920</v>
      </c>
      <c r="BE293" s="26">
        <f>2.81*1000</f>
        <v>2810</v>
      </c>
      <c r="BF293" s="39" t="s">
        <v>380</v>
      </c>
      <c r="BJ293" s="26">
        <v>0.48</v>
      </c>
      <c r="BK293" s="26">
        <v>0.54</v>
      </c>
      <c r="BL293" s="26" t="s">
        <v>195</v>
      </c>
      <c r="BM293" s="26">
        <f>0.37*1000</f>
        <v>370</v>
      </c>
      <c r="BN293" s="26">
        <v>420</v>
      </c>
      <c r="BO293" s="39" t="s">
        <v>1863</v>
      </c>
      <c r="BP293" s="26">
        <v>19</v>
      </c>
      <c r="BQ293" s="26">
        <v>23</v>
      </c>
      <c r="BS293" s="26">
        <v>100</v>
      </c>
      <c r="BT293" s="26">
        <v>89</v>
      </c>
      <c r="BV293" s="26">
        <v>6.5</v>
      </c>
      <c r="BW293" s="26">
        <v>6.6</v>
      </c>
      <c r="EJ293" s="12"/>
      <c r="EL293" s="15"/>
      <c r="FR293" s="39" t="s">
        <v>394</v>
      </c>
      <c r="FT293" s="26">
        <v>19</v>
      </c>
    </row>
    <row r="294" spans="1:176" s="26" customFormat="1" x14ac:dyDescent="0.25">
      <c r="A294" s="26">
        <v>19</v>
      </c>
      <c r="B294" s="26" t="s">
        <v>376</v>
      </c>
      <c r="C294" s="26" t="s">
        <v>377</v>
      </c>
      <c r="D294" s="26">
        <v>1986</v>
      </c>
      <c r="E294" s="26">
        <v>1982</v>
      </c>
      <c r="F294" s="26" t="s">
        <v>342</v>
      </c>
      <c r="G294" s="26" t="s">
        <v>378</v>
      </c>
      <c r="H294" s="26">
        <v>33.32</v>
      </c>
      <c r="I294" s="26">
        <v>-84.43</v>
      </c>
      <c r="J294" s="26">
        <v>246.5</v>
      </c>
      <c r="P294" s="52">
        <v>2</v>
      </c>
      <c r="Q294" s="52"/>
      <c r="R294" s="52"/>
      <c r="S294" s="52" t="s">
        <v>1557</v>
      </c>
      <c r="T294" s="52" t="s">
        <v>1556</v>
      </c>
      <c r="U294" s="52" t="s">
        <v>1565</v>
      </c>
      <c r="V294" s="52" t="s">
        <v>1904</v>
      </c>
      <c r="Z294" s="26" t="s">
        <v>278</v>
      </c>
      <c r="AD294" s="26" t="s">
        <v>1483</v>
      </c>
      <c r="AE294" s="26" t="s">
        <v>1701</v>
      </c>
      <c r="AF294" s="152" t="s">
        <v>666</v>
      </c>
      <c r="AG294" s="26" t="s">
        <v>258</v>
      </c>
      <c r="AH294" s="154" t="s">
        <v>258</v>
      </c>
      <c r="AL294" s="26" t="s">
        <v>256</v>
      </c>
      <c r="AM294" s="26" t="s">
        <v>256</v>
      </c>
      <c r="AN294" s="26" t="s">
        <v>212</v>
      </c>
      <c r="AO294" s="39" t="s">
        <v>382</v>
      </c>
      <c r="AP294" s="39" t="s">
        <v>382</v>
      </c>
      <c r="AQ294" s="39"/>
      <c r="AR294" s="26" t="s">
        <v>147</v>
      </c>
      <c r="AS294" s="26">
        <v>4</v>
      </c>
      <c r="AT294" s="26">
        <v>4</v>
      </c>
      <c r="AU294" s="26" t="s">
        <v>379</v>
      </c>
      <c r="AW294" s="26">
        <f>9.21*1000</f>
        <v>9210</v>
      </c>
      <c r="AX294" s="26">
        <f>9.21/2.18*10</f>
        <v>42.247706422018354</v>
      </c>
      <c r="AY294" s="63"/>
      <c r="AZ294" s="39" t="s">
        <v>384</v>
      </c>
      <c r="BD294" s="26">
        <f t="shared" ref="BD294:BD297" si="47">2.92*1000</f>
        <v>2920</v>
      </c>
      <c r="BE294" s="26">
        <f>4.96*1000</f>
        <v>4960</v>
      </c>
      <c r="BF294" s="39" t="s">
        <v>380</v>
      </c>
      <c r="BJ294" s="26">
        <v>0.48</v>
      </c>
      <c r="BK294" s="26">
        <v>0.49</v>
      </c>
      <c r="BL294" s="26" t="s">
        <v>195</v>
      </c>
      <c r="BM294" s="26">
        <f t="shared" ref="BM294:BM297" si="48">0.37*1000</f>
        <v>370</v>
      </c>
      <c r="BN294" s="26">
        <v>410</v>
      </c>
      <c r="BO294" s="39" t="s">
        <v>1863</v>
      </c>
      <c r="BP294" s="26">
        <v>19</v>
      </c>
      <c r="BQ294" s="26">
        <v>16</v>
      </c>
      <c r="BS294" s="26">
        <v>100</v>
      </c>
      <c r="BT294" s="26">
        <v>72</v>
      </c>
      <c r="BV294" s="26">
        <v>6.5</v>
      </c>
      <c r="BW294" s="26">
        <v>6.1</v>
      </c>
      <c r="EJ294" s="12"/>
      <c r="EL294" s="15"/>
      <c r="FR294" s="39" t="s">
        <v>394</v>
      </c>
      <c r="FT294" s="26">
        <v>19</v>
      </c>
    </row>
    <row r="295" spans="1:176" s="26" customFormat="1" x14ac:dyDescent="0.25">
      <c r="A295" s="26">
        <v>19</v>
      </c>
      <c r="B295" s="26" t="s">
        <v>376</v>
      </c>
      <c r="C295" s="26" t="s">
        <v>377</v>
      </c>
      <c r="D295" s="26">
        <v>1986</v>
      </c>
      <c r="E295" s="26">
        <v>1982</v>
      </c>
      <c r="F295" s="26" t="s">
        <v>342</v>
      </c>
      <c r="G295" s="26" t="s">
        <v>378</v>
      </c>
      <c r="H295" s="26">
        <v>33.32</v>
      </c>
      <c r="I295" s="26">
        <v>-84.43</v>
      </c>
      <c r="J295" s="26">
        <v>246.5</v>
      </c>
      <c r="P295" s="52">
        <v>2</v>
      </c>
      <c r="Q295" s="52"/>
      <c r="R295" s="52"/>
      <c r="S295" s="52" t="s">
        <v>1557</v>
      </c>
      <c r="T295" s="52" t="s">
        <v>1556</v>
      </c>
      <c r="U295" s="52" t="s">
        <v>1565</v>
      </c>
      <c r="V295" s="52" t="s">
        <v>1904</v>
      </c>
      <c r="Z295" s="26" t="s">
        <v>278</v>
      </c>
      <c r="AD295" s="26" t="s">
        <v>1483</v>
      </c>
      <c r="AE295" s="26" t="s">
        <v>1712</v>
      </c>
      <c r="AF295" s="152" t="s">
        <v>666</v>
      </c>
      <c r="AG295" s="26" t="s">
        <v>258</v>
      </c>
      <c r="AH295" s="154" t="s">
        <v>258</v>
      </c>
      <c r="AL295" s="26" t="s">
        <v>256</v>
      </c>
      <c r="AM295" s="26" t="s">
        <v>256</v>
      </c>
      <c r="AN295" s="26" t="s">
        <v>212</v>
      </c>
      <c r="AO295" s="39" t="s">
        <v>382</v>
      </c>
      <c r="AP295" s="39" t="s">
        <v>382</v>
      </c>
      <c r="AQ295" s="39"/>
      <c r="AR295" s="26" t="s">
        <v>147</v>
      </c>
      <c r="AS295" s="26">
        <v>4</v>
      </c>
      <c r="AT295" s="26">
        <v>4</v>
      </c>
      <c r="AU295" s="26" t="s">
        <v>379</v>
      </c>
      <c r="AW295" s="26">
        <f>4.06*1000</f>
        <v>4059.9999999999995</v>
      </c>
      <c r="AX295" s="26">
        <f>4.06/2.77*10</f>
        <v>14.657039711191334</v>
      </c>
      <c r="AY295" s="63"/>
      <c r="AZ295" s="39" t="s">
        <v>384</v>
      </c>
      <c r="BD295" s="26">
        <f t="shared" si="47"/>
        <v>2920</v>
      </c>
      <c r="BE295" s="26">
        <f>5.44*1000</f>
        <v>5440</v>
      </c>
      <c r="BF295" s="39" t="s">
        <v>380</v>
      </c>
      <c r="BJ295" s="26">
        <v>0.48</v>
      </c>
      <c r="BK295" s="26">
        <v>0.55000000000000004</v>
      </c>
      <c r="BL295" s="26" t="s">
        <v>195</v>
      </c>
      <c r="BM295" s="26">
        <f t="shared" si="48"/>
        <v>370</v>
      </c>
      <c r="BN295" s="26">
        <v>480</v>
      </c>
      <c r="BO295" s="39" t="s">
        <v>1863</v>
      </c>
      <c r="BP295" s="26">
        <v>19</v>
      </c>
      <c r="BQ295" s="26">
        <v>18</v>
      </c>
      <c r="BS295" s="26">
        <v>100</v>
      </c>
      <c r="BT295" s="26">
        <v>90</v>
      </c>
      <c r="BV295" s="26">
        <v>6.5</v>
      </c>
      <c r="BW295" s="26">
        <v>6.2</v>
      </c>
      <c r="EJ295" s="12"/>
      <c r="EL295" s="15"/>
      <c r="FR295" s="39" t="s">
        <v>394</v>
      </c>
      <c r="FT295" s="26">
        <v>19</v>
      </c>
    </row>
    <row r="296" spans="1:176" s="26" customFormat="1" x14ac:dyDescent="0.25">
      <c r="A296" s="26">
        <v>19</v>
      </c>
      <c r="B296" s="26" t="s">
        <v>376</v>
      </c>
      <c r="C296" s="26" t="s">
        <v>377</v>
      </c>
      <c r="D296" s="26">
        <v>1986</v>
      </c>
      <c r="E296" s="26">
        <v>1982</v>
      </c>
      <c r="F296" s="26" t="s">
        <v>342</v>
      </c>
      <c r="G296" s="26" t="s">
        <v>378</v>
      </c>
      <c r="H296" s="26">
        <v>33.32</v>
      </c>
      <c r="I296" s="26">
        <v>-84.43</v>
      </c>
      <c r="J296" s="26">
        <v>246.5</v>
      </c>
      <c r="P296" s="52">
        <v>2</v>
      </c>
      <c r="Q296" s="52"/>
      <c r="R296" s="52"/>
      <c r="S296" s="52" t="s">
        <v>1557</v>
      </c>
      <c r="T296" s="52" t="s">
        <v>1556</v>
      </c>
      <c r="U296" s="52" t="s">
        <v>1565</v>
      </c>
      <c r="V296" s="52" t="s">
        <v>1904</v>
      </c>
      <c r="Z296" s="26" t="s">
        <v>278</v>
      </c>
      <c r="AD296" s="26" t="s">
        <v>1483</v>
      </c>
      <c r="AE296" s="26" t="s">
        <v>281</v>
      </c>
      <c r="AF296" s="152" t="s">
        <v>666</v>
      </c>
      <c r="AG296" s="26" t="s">
        <v>258</v>
      </c>
      <c r="AH296" s="154" t="s">
        <v>258</v>
      </c>
      <c r="AL296" s="26" t="s">
        <v>256</v>
      </c>
      <c r="AM296" s="26" t="s">
        <v>256</v>
      </c>
      <c r="AN296" s="26" t="s">
        <v>212</v>
      </c>
      <c r="AO296" s="39" t="s">
        <v>382</v>
      </c>
      <c r="AP296" s="39" t="s">
        <v>382</v>
      </c>
      <c r="AQ296" s="39"/>
      <c r="AR296" s="26" t="s">
        <v>147</v>
      </c>
      <c r="AS296" s="26">
        <v>4</v>
      </c>
      <c r="AT296" s="26">
        <v>4</v>
      </c>
      <c r="AU296" s="26" t="s">
        <v>379</v>
      </c>
      <c r="AW296" s="26">
        <f>4.54*1000</f>
        <v>4540</v>
      </c>
      <c r="AX296" s="26">
        <f>4.54/3.38*10</f>
        <v>13.431952662721894</v>
      </c>
      <c r="AY296" s="63"/>
      <c r="AZ296" s="39" t="s">
        <v>384</v>
      </c>
      <c r="BD296" s="26">
        <f t="shared" si="47"/>
        <v>2920</v>
      </c>
      <c r="BE296" s="26">
        <f>4.73*1000</f>
        <v>4730</v>
      </c>
      <c r="BF296" s="39" t="s">
        <v>380</v>
      </c>
      <c r="BJ296" s="26">
        <v>0.48</v>
      </c>
      <c r="BK296" s="26">
        <v>0.55000000000000004</v>
      </c>
      <c r="BL296" s="26" t="s">
        <v>195</v>
      </c>
      <c r="BM296" s="26">
        <f t="shared" si="48"/>
        <v>370</v>
      </c>
      <c r="BN296" s="26">
        <v>510</v>
      </c>
      <c r="BO296" s="39" t="s">
        <v>1863</v>
      </c>
      <c r="BP296" s="26">
        <v>19</v>
      </c>
      <c r="BQ296" s="26">
        <v>8</v>
      </c>
      <c r="BS296" s="26">
        <v>100</v>
      </c>
      <c r="BT296" s="26">
        <v>108</v>
      </c>
      <c r="BV296" s="26">
        <v>6.5</v>
      </c>
      <c r="BW296" s="26">
        <v>6.3</v>
      </c>
      <c r="EJ296" s="12"/>
      <c r="EL296" s="15"/>
      <c r="FR296" s="39" t="s">
        <v>394</v>
      </c>
      <c r="FT296" s="26">
        <v>19</v>
      </c>
    </row>
    <row r="297" spans="1:176" s="26" customFormat="1" x14ac:dyDescent="0.25">
      <c r="A297" s="26">
        <v>19</v>
      </c>
      <c r="B297" s="26" t="s">
        <v>376</v>
      </c>
      <c r="C297" s="26" t="s">
        <v>377</v>
      </c>
      <c r="D297" s="26">
        <v>1986</v>
      </c>
      <c r="E297" s="26">
        <v>1982</v>
      </c>
      <c r="F297" s="26" t="s">
        <v>342</v>
      </c>
      <c r="G297" s="26" t="s">
        <v>378</v>
      </c>
      <c r="H297" s="26">
        <v>33.32</v>
      </c>
      <c r="I297" s="26">
        <v>-84.43</v>
      </c>
      <c r="J297" s="26">
        <v>246.5</v>
      </c>
      <c r="P297" s="52">
        <v>2</v>
      </c>
      <c r="Q297" s="52"/>
      <c r="R297" s="52"/>
      <c r="S297" s="52" t="s">
        <v>1557</v>
      </c>
      <c r="T297" s="52" t="s">
        <v>1556</v>
      </c>
      <c r="U297" s="52" t="s">
        <v>1565</v>
      </c>
      <c r="V297" s="52" t="s">
        <v>1904</v>
      </c>
      <c r="Z297" s="26" t="s">
        <v>278</v>
      </c>
      <c r="AD297" s="26" t="s">
        <v>1483</v>
      </c>
      <c r="AE297" s="26" t="s">
        <v>1713</v>
      </c>
      <c r="AF297" s="152" t="s">
        <v>666</v>
      </c>
      <c r="AG297" s="26" t="s">
        <v>258</v>
      </c>
      <c r="AH297" s="154" t="s">
        <v>258</v>
      </c>
      <c r="AL297" s="26" t="s">
        <v>256</v>
      </c>
      <c r="AM297" s="26" t="s">
        <v>256</v>
      </c>
      <c r="AN297" s="26" t="s">
        <v>212</v>
      </c>
      <c r="AO297" s="39" t="s">
        <v>382</v>
      </c>
      <c r="AP297" s="39" t="s">
        <v>382</v>
      </c>
      <c r="AQ297" s="39"/>
      <c r="AR297" s="26" t="s">
        <v>147</v>
      </c>
      <c r="AS297" s="26">
        <v>4</v>
      </c>
      <c r="AT297" s="26">
        <v>4</v>
      </c>
      <c r="AU297" s="26" t="s">
        <v>379</v>
      </c>
      <c r="AW297" s="26">
        <f>4.7*1000</f>
        <v>4700</v>
      </c>
      <c r="AX297" s="26">
        <f>4.7/3*10</f>
        <v>15.666666666666666</v>
      </c>
      <c r="AY297" s="63"/>
      <c r="AZ297" s="39" t="s">
        <v>384</v>
      </c>
      <c r="BD297" s="26">
        <f t="shared" si="47"/>
        <v>2920</v>
      </c>
      <c r="BE297" s="26">
        <f>4.34*1000</f>
        <v>4340</v>
      </c>
      <c r="BF297" s="39" t="s">
        <v>380</v>
      </c>
      <c r="BJ297" s="26">
        <v>0.48</v>
      </c>
      <c r="BK297" s="26">
        <v>0.51</v>
      </c>
      <c r="BL297" s="26" t="s">
        <v>195</v>
      </c>
      <c r="BM297" s="26">
        <f t="shared" si="48"/>
        <v>370</v>
      </c>
      <c r="BN297" s="26">
        <v>450</v>
      </c>
      <c r="BO297" s="39" t="s">
        <v>1863</v>
      </c>
      <c r="BP297" s="26">
        <v>19</v>
      </c>
      <c r="BQ297" s="26">
        <v>17</v>
      </c>
      <c r="BS297" s="26">
        <v>100</v>
      </c>
      <c r="BT297" s="26">
        <v>85</v>
      </c>
      <c r="BV297" s="26">
        <v>6.5</v>
      </c>
      <c r="BW297" s="26">
        <v>6.3</v>
      </c>
      <c r="EJ297" s="12"/>
      <c r="EL297" s="15"/>
      <c r="FR297" s="39" t="s">
        <v>394</v>
      </c>
      <c r="FT297" s="26">
        <v>19</v>
      </c>
    </row>
    <row r="298" spans="1:176" s="39" customFormat="1" x14ac:dyDescent="0.25">
      <c r="A298" s="39">
        <v>19</v>
      </c>
      <c r="B298" s="39" t="s">
        <v>376</v>
      </c>
      <c r="C298" s="39" t="s">
        <v>377</v>
      </c>
      <c r="D298" s="39">
        <v>1986</v>
      </c>
      <c r="E298" s="39">
        <v>1983</v>
      </c>
      <c r="F298" s="39" t="s">
        <v>342</v>
      </c>
      <c r="G298" s="39" t="s">
        <v>378</v>
      </c>
      <c r="H298" s="39">
        <v>33.32</v>
      </c>
      <c r="I298" s="39">
        <v>-84.43</v>
      </c>
      <c r="J298" s="39">
        <v>246.5</v>
      </c>
      <c r="P298" s="58">
        <v>3</v>
      </c>
      <c r="Q298" s="58"/>
      <c r="R298" s="58"/>
      <c r="S298" s="58" t="s">
        <v>1566</v>
      </c>
      <c r="T298" s="58" t="s">
        <v>1556</v>
      </c>
      <c r="U298" s="58" t="s">
        <v>1565</v>
      </c>
      <c r="V298" s="58" t="s">
        <v>1905</v>
      </c>
      <c r="Z298" s="39" t="s">
        <v>278</v>
      </c>
      <c r="AD298" s="39" t="s">
        <v>1483</v>
      </c>
      <c r="AE298" s="39" t="s">
        <v>159</v>
      </c>
      <c r="AF298" s="152" t="s">
        <v>159</v>
      </c>
      <c r="AG298" s="39" t="s">
        <v>258</v>
      </c>
      <c r="AH298" s="154" t="s">
        <v>258</v>
      </c>
      <c r="AL298" s="39" t="s">
        <v>256</v>
      </c>
      <c r="AM298" s="39" t="s">
        <v>256</v>
      </c>
      <c r="AN298" s="39" t="s">
        <v>212</v>
      </c>
      <c r="AO298" s="39" t="s">
        <v>382</v>
      </c>
      <c r="AP298" s="39" t="s">
        <v>382</v>
      </c>
      <c r="AR298" s="39" t="s">
        <v>147</v>
      </c>
      <c r="AS298" s="39">
        <v>4</v>
      </c>
      <c r="AT298" s="39">
        <v>4</v>
      </c>
      <c r="AU298" s="39" t="s">
        <v>379</v>
      </c>
      <c r="AW298" s="39">
        <f>4.83*1000</f>
        <v>4830</v>
      </c>
      <c r="AX298" s="39">
        <f>4.83/0.97*10</f>
        <v>49.793814432989691</v>
      </c>
      <c r="AY298" s="63"/>
      <c r="AZ298" s="39" t="s">
        <v>384</v>
      </c>
      <c r="BD298" s="39">
        <f>2.33*1000</f>
        <v>2330</v>
      </c>
      <c r="BE298" s="39">
        <f>2.03*1000</f>
        <v>2029.9999999999998</v>
      </c>
      <c r="BF298" s="39" t="s">
        <v>380</v>
      </c>
      <c r="BJ298" s="39">
        <v>0.37</v>
      </c>
      <c r="BK298" s="39">
        <v>0.39</v>
      </c>
      <c r="BL298" s="39" t="s">
        <v>195</v>
      </c>
      <c r="BM298" s="39">
        <f>0.34*1000</f>
        <v>340</v>
      </c>
      <c r="BN298" s="39">
        <v>340</v>
      </c>
      <c r="BO298" s="39" t="s">
        <v>1863</v>
      </c>
      <c r="BP298" s="39">
        <v>3.4</v>
      </c>
      <c r="BQ298" s="39">
        <v>4.5999999999999996</v>
      </c>
      <c r="BS298" s="39">
        <v>109</v>
      </c>
      <c r="BT298" s="39">
        <v>96</v>
      </c>
      <c r="BV298" s="39">
        <v>6.2</v>
      </c>
      <c r="BW298" s="39">
        <v>6.2</v>
      </c>
      <c r="EJ298" s="12"/>
      <c r="EL298" s="15"/>
      <c r="FR298" s="39" t="s">
        <v>394</v>
      </c>
      <c r="FT298" s="39">
        <v>19</v>
      </c>
    </row>
    <row r="299" spans="1:176" s="39" customFormat="1" x14ac:dyDescent="0.25">
      <c r="A299" s="39">
        <v>19</v>
      </c>
      <c r="B299" s="39" t="s">
        <v>376</v>
      </c>
      <c r="C299" s="39" t="s">
        <v>377</v>
      </c>
      <c r="D299" s="39">
        <v>1986</v>
      </c>
      <c r="E299" s="39">
        <v>1983</v>
      </c>
      <c r="F299" s="39" t="s">
        <v>342</v>
      </c>
      <c r="G299" s="39" t="s">
        <v>378</v>
      </c>
      <c r="H299" s="39">
        <v>33.32</v>
      </c>
      <c r="I299" s="39">
        <v>-84.43</v>
      </c>
      <c r="J299" s="39">
        <v>246.5</v>
      </c>
      <c r="P299" s="58">
        <v>3</v>
      </c>
      <c r="Q299" s="58"/>
      <c r="R299" s="58"/>
      <c r="S299" s="58" t="s">
        <v>1566</v>
      </c>
      <c r="T299" s="58" t="s">
        <v>1556</v>
      </c>
      <c r="U299" s="58" t="s">
        <v>1565</v>
      </c>
      <c r="V299" s="58" t="s">
        <v>1905</v>
      </c>
      <c r="Z299" s="39" t="s">
        <v>278</v>
      </c>
      <c r="AD299" s="39" t="s">
        <v>1483</v>
      </c>
      <c r="AE299" s="39" t="s">
        <v>1701</v>
      </c>
      <c r="AF299" s="152" t="s">
        <v>666</v>
      </c>
      <c r="AG299" s="39" t="s">
        <v>258</v>
      </c>
      <c r="AH299" s="154" t="s">
        <v>258</v>
      </c>
      <c r="AL299" s="39" t="s">
        <v>256</v>
      </c>
      <c r="AM299" s="39" t="s">
        <v>256</v>
      </c>
      <c r="AN299" s="39" t="s">
        <v>212</v>
      </c>
      <c r="AO299" s="39" t="s">
        <v>382</v>
      </c>
      <c r="AP299" s="39" t="s">
        <v>382</v>
      </c>
      <c r="AR299" s="39" t="s">
        <v>147</v>
      </c>
      <c r="AS299" s="39">
        <v>4</v>
      </c>
      <c r="AT299" s="39">
        <v>4</v>
      </c>
      <c r="AU299" s="39" t="s">
        <v>379</v>
      </c>
      <c r="AW299" s="39">
        <f>8.77*1000</f>
        <v>8770</v>
      </c>
      <c r="AX299" s="39">
        <f>8.77/2.47*10</f>
        <v>35.506072874493924</v>
      </c>
      <c r="AY299" s="63"/>
      <c r="AZ299" s="39" t="s">
        <v>384</v>
      </c>
      <c r="BD299" s="39">
        <f t="shared" ref="BD299:BD302" si="49">2.33*1000</f>
        <v>2330</v>
      </c>
      <c r="BE299" s="39">
        <f>3.18*1000</f>
        <v>3180</v>
      </c>
      <c r="BF299" s="39" t="s">
        <v>380</v>
      </c>
      <c r="BJ299" s="39">
        <v>0.37</v>
      </c>
      <c r="BK299" s="39">
        <v>0.36</v>
      </c>
      <c r="BL299" s="39" t="s">
        <v>195</v>
      </c>
      <c r="BM299" s="39">
        <f t="shared" ref="BM299:BM302" si="50">0.34*1000</f>
        <v>340</v>
      </c>
      <c r="BN299" s="39">
        <v>340</v>
      </c>
      <c r="BO299" s="39" t="s">
        <v>1863</v>
      </c>
      <c r="BP299" s="39">
        <v>3.4</v>
      </c>
      <c r="BQ299" s="39">
        <v>3</v>
      </c>
      <c r="BS299" s="39">
        <v>109</v>
      </c>
      <c r="BT299" s="39">
        <v>71</v>
      </c>
      <c r="BV299" s="39">
        <v>6.2</v>
      </c>
      <c r="BW299" s="39">
        <v>5.9</v>
      </c>
      <c r="EJ299" s="12"/>
      <c r="EL299" s="15"/>
      <c r="FR299" s="39" t="s">
        <v>394</v>
      </c>
      <c r="FT299" s="39">
        <v>19</v>
      </c>
    </row>
    <row r="300" spans="1:176" s="39" customFormat="1" x14ac:dyDescent="0.25">
      <c r="A300" s="39">
        <v>19</v>
      </c>
      <c r="B300" s="39" t="s">
        <v>376</v>
      </c>
      <c r="C300" s="39" t="s">
        <v>377</v>
      </c>
      <c r="D300" s="39">
        <v>1986</v>
      </c>
      <c r="E300" s="39">
        <v>1983</v>
      </c>
      <c r="F300" s="39" t="s">
        <v>342</v>
      </c>
      <c r="G300" s="39" t="s">
        <v>378</v>
      </c>
      <c r="H300" s="39">
        <v>33.32</v>
      </c>
      <c r="I300" s="39">
        <v>-84.43</v>
      </c>
      <c r="J300" s="39">
        <v>246.5</v>
      </c>
      <c r="P300" s="58">
        <v>3</v>
      </c>
      <c r="Q300" s="58"/>
      <c r="R300" s="58"/>
      <c r="S300" s="58" t="s">
        <v>1566</v>
      </c>
      <c r="T300" s="58" t="s">
        <v>1556</v>
      </c>
      <c r="U300" s="58" t="s">
        <v>1565</v>
      </c>
      <c r="V300" s="58" t="s">
        <v>1905</v>
      </c>
      <c r="Z300" s="39" t="s">
        <v>278</v>
      </c>
      <c r="AD300" s="39" t="s">
        <v>1483</v>
      </c>
      <c r="AE300" s="39" t="s">
        <v>1712</v>
      </c>
      <c r="AF300" s="152" t="s">
        <v>666</v>
      </c>
      <c r="AG300" s="39" t="s">
        <v>258</v>
      </c>
      <c r="AH300" s="154" t="s">
        <v>258</v>
      </c>
      <c r="AL300" s="39" t="s">
        <v>256</v>
      </c>
      <c r="AM300" s="39" t="s">
        <v>256</v>
      </c>
      <c r="AN300" s="39" t="s">
        <v>212</v>
      </c>
      <c r="AO300" s="39" t="s">
        <v>382</v>
      </c>
      <c r="AP300" s="39" t="s">
        <v>382</v>
      </c>
      <c r="AR300" s="39" t="s">
        <v>147</v>
      </c>
      <c r="AS300" s="39">
        <v>4</v>
      </c>
      <c r="AT300" s="39">
        <v>4</v>
      </c>
      <c r="AU300" s="39" t="s">
        <v>379</v>
      </c>
      <c r="AW300" s="39">
        <f>4.97*1000</f>
        <v>4970</v>
      </c>
      <c r="AX300" s="39">
        <f>4.97/2.99*10</f>
        <v>16.622073578595316</v>
      </c>
      <c r="AY300" s="63"/>
      <c r="AZ300" s="39" t="s">
        <v>384</v>
      </c>
      <c r="BD300" s="39">
        <f t="shared" si="49"/>
        <v>2330</v>
      </c>
      <c r="BE300" s="39">
        <f>2.72*1000</f>
        <v>2720</v>
      </c>
      <c r="BF300" s="39" t="s">
        <v>380</v>
      </c>
      <c r="BJ300" s="39">
        <v>0.37</v>
      </c>
      <c r="BK300" s="39">
        <v>0.37</v>
      </c>
      <c r="BL300" s="39" t="s">
        <v>195</v>
      </c>
      <c r="BM300" s="39">
        <f t="shared" si="50"/>
        <v>340</v>
      </c>
      <c r="BN300" s="39">
        <v>350</v>
      </c>
      <c r="BO300" s="39" t="s">
        <v>1863</v>
      </c>
      <c r="BP300" s="39">
        <v>3.4</v>
      </c>
      <c r="BQ300" s="39">
        <v>5.2</v>
      </c>
      <c r="BS300" s="39">
        <v>109</v>
      </c>
      <c r="BT300" s="39">
        <v>79</v>
      </c>
      <c r="BV300" s="39">
        <v>6.2</v>
      </c>
      <c r="BW300" s="39">
        <v>5.9</v>
      </c>
      <c r="EJ300" s="12"/>
      <c r="EL300" s="15"/>
      <c r="FR300" s="39" t="s">
        <v>394</v>
      </c>
      <c r="FT300" s="39">
        <v>19</v>
      </c>
    </row>
    <row r="301" spans="1:176" s="39" customFormat="1" x14ac:dyDescent="0.25">
      <c r="A301" s="39">
        <v>19</v>
      </c>
      <c r="B301" s="39" t="s">
        <v>376</v>
      </c>
      <c r="C301" s="39" t="s">
        <v>377</v>
      </c>
      <c r="D301" s="39">
        <v>1986</v>
      </c>
      <c r="E301" s="39">
        <v>1983</v>
      </c>
      <c r="F301" s="39" t="s">
        <v>342</v>
      </c>
      <c r="G301" s="39" t="s">
        <v>378</v>
      </c>
      <c r="H301" s="39">
        <v>33.32</v>
      </c>
      <c r="I301" s="39">
        <v>-84.43</v>
      </c>
      <c r="J301" s="39">
        <v>246.5</v>
      </c>
      <c r="P301" s="58">
        <v>3</v>
      </c>
      <c r="Q301" s="58"/>
      <c r="R301" s="58"/>
      <c r="S301" s="58" t="s">
        <v>1566</v>
      </c>
      <c r="T301" s="58" t="s">
        <v>1556</v>
      </c>
      <c r="U301" s="58" t="s">
        <v>1565</v>
      </c>
      <c r="V301" s="58" t="s">
        <v>1905</v>
      </c>
      <c r="Z301" s="39" t="s">
        <v>278</v>
      </c>
      <c r="AD301" s="39" t="s">
        <v>1483</v>
      </c>
      <c r="AE301" s="39" t="s">
        <v>281</v>
      </c>
      <c r="AF301" s="152" t="s">
        <v>666</v>
      </c>
      <c r="AG301" s="39" t="s">
        <v>258</v>
      </c>
      <c r="AH301" s="154" t="s">
        <v>258</v>
      </c>
      <c r="AL301" s="39" t="s">
        <v>256</v>
      </c>
      <c r="AM301" s="39" t="s">
        <v>256</v>
      </c>
      <c r="AN301" s="39" t="s">
        <v>212</v>
      </c>
      <c r="AO301" s="39" t="s">
        <v>382</v>
      </c>
      <c r="AP301" s="39" t="s">
        <v>382</v>
      </c>
      <c r="AR301" s="39" t="s">
        <v>147</v>
      </c>
      <c r="AS301" s="39">
        <v>4</v>
      </c>
      <c r="AT301" s="39">
        <v>4</v>
      </c>
      <c r="AU301" s="39" t="s">
        <v>379</v>
      </c>
      <c r="AW301" s="39">
        <f>4.15*1000</f>
        <v>4150</v>
      </c>
      <c r="AX301" s="39">
        <f>4.15/4.5*10</f>
        <v>9.2222222222222232</v>
      </c>
      <c r="AY301" s="63"/>
      <c r="AZ301" s="39" t="s">
        <v>384</v>
      </c>
      <c r="BD301" s="39">
        <f t="shared" si="49"/>
        <v>2330</v>
      </c>
      <c r="BE301" s="39">
        <f>2.99*1000</f>
        <v>2990</v>
      </c>
      <c r="BF301" s="39" t="s">
        <v>380</v>
      </c>
      <c r="BJ301" s="39">
        <v>0.37</v>
      </c>
      <c r="BK301" s="39">
        <v>0.39</v>
      </c>
      <c r="BL301" s="39" t="s">
        <v>195</v>
      </c>
      <c r="BM301" s="39">
        <f t="shared" si="50"/>
        <v>340</v>
      </c>
      <c r="BN301" s="39">
        <v>390</v>
      </c>
      <c r="BO301" s="39" t="s">
        <v>1863</v>
      </c>
      <c r="BP301" s="39">
        <v>3.4</v>
      </c>
      <c r="BQ301" s="39">
        <v>2.2000000000000002</v>
      </c>
      <c r="BS301" s="39">
        <v>109</v>
      </c>
      <c r="BT301" s="39">
        <v>86</v>
      </c>
      <c r="BV301" s="39">
        <v>6.2</v>
      </c>
      <c r="BW301" s="39">
        <v>6.1</v>
      </c>
      <c r="EJ301" s="12"/>
      <c r="EL301" s="15"/>
      <c r="FR301" s="39" t="s">
        <v>394</v>
      </c>
      <c r="FT301" s="39">
        <v>19</v>
      </c>
    </row>
    <row r="302" spans="1:176" s="39" customFormat="1" x14ac:dyDescent="0.25">
      <c r="A302" s="39">
        <v>19</v>
      </c>
      <c r="B302" s="39" t="s">
        <v>376</v>
      </c>
      <c r="C302" s="39" t="s">
        <v>377</v>
      </c>
      <c r="D302" s="39">
        <v>1986</v>
      </c>
      <c r="E302" s="39">
        <v>1983</v>
      </c>
      <c r="F302" s="39" t="s">
        <v>342</v>
      </c>
      <c r="G302" s="39" t="s">
        <v>378</v>
      </c>
      <c r="H302" s="39">
        <v>33.32</v>
      </c>
      <c r="I302" s="39">
        <v>-84.43</v>
      </c>
      <c r="J302" s="39">
        <v>246.5</v>
      </c>
      <c r="P302" s="58">
        <v>3</v>
      </c>
      <c r="Q302" s="58"/>
      <c r="R302" s="58"/>
      <c r="S302" s="58" t="s">
        <v>1566</v>
      </c>
      <c r="T302" s="58" t="s">
        <v>1556</v>
      </c>
      <c r="U302" s="58" t="s">
        <v>1565</v>
      </c>
      <c r="V302" s="58" t="s">
        <v>1905</v>
      </c>
      <c r="Z302" s="39" t="s">
        <v>278</v>
      </c>
      <c r="AD302" s="39" t="s">
        <v>1483</v>
      </c>
      <c r="AE302" s="39" t="s">
        <v>1713</v>
      </c>
      <c r="AF302" s="152" t="s">
        <v>666</v>
      </c>
      <c r="AG302" s="39" t="s">
        <v>258</v>
      </c>
      <c r="AH302" s="154" t="s">
        <v>258</v>
      </c>
      <c r="AL302" s="39" t="s">
        <v>256</v>
      </c>
      <c r="AM302" s="39" t="s">
        <v>256</v>
      </c>
      <c r="AN302" s="39" t="s">
        <v>212</v>
      </c>
      <c r="AO302" s="39" t="s">
        <v>382</v>
      </c>
      <c r="AP302" s="39" t="s">
        <v>382</v>
      </c>
      <c r="AR302" s="39" t="s">
        <v>147</v>
      </c>
      <c r="AS302" s="39">
        <v>4</v>
      </c>
      <c r="AT302" s="39">
        <v>4</v>
      </c>
      <c r="AU302" s="39" t="s">
        <v>379</v>
      </c>
      <c r="AW302" s="39">
        <f>4.23*1000</f>
        <v>4230</v>
      </c>
      <c r="AX302" s="39">
        <f>4.23/3.36*10</f>
        <v>12.589285714285715</v>
      </c>
      <c r="AY302" s="63"/>
      <c r="AZ302" s="39" t="s">
        <v>384</v>
      </c>
      <c r="BD302" s="39">
        <f t="shared" si="49"/>
        <v>2330</v>
      </c>
      <c r="BE302" s="39">
        <f>2.83*1000</f>
        <v>2830</v>
      </c>
      <c r="BF302" s="39" t="s">
        <v>380</v>
      </c>
      <c r="BJ302" s="39">
        <v>0.37</v>
      </c>
      <c r="BK302" s="39">
        <v>0.39</v>
      </c>
      <c r="BL302" s="39" t="s">
        <v>195</v>
      </c>
      <c r="BM302" s="39">
        <f t="shared" si="50"/>
        <v>340</v>
      </c>
      <c r="BN302" s="39">
        <v>370</v>
      </c>
      <c r="BO302" s="39" t="s">
        <v>1863</v>
      </c>
      <c r="BP302" s="39">
        <v>3.4</v>
      </c>
      <c r="BQ302" s="39">
        <v>2.4</v>
      </c>
      <c r="BS302" s="39">
        <v>109</v>
      </c>
      <c r="BT302" s="39">
        <v>97</v>
      </c>
      <c r="BV302" s="39">
        <v>6.2</v>
      </c>
      <c r="BW302" s="39">
        <v>6.2</v>
      </c>
      <c r="EJ302" s="12"/>
      <c r="EL302" s="15"/>
      <c r="FR302" s="39" t="s">
        <v>394</v>
      </c>
      <c r="FT302" s="39">
        <v>19</v>
      </c>
    </row>
    <row r="303" spans="1:176" s="35" customFormat="1" x14ac:dyDescent="0.25">
      <c r="A303" s="35">
        <v>19</v>
      </c>
      <c r="B303" s="35" t="s">
        <v>376</v>
      </c>
      <c r="C303" s="35" t="s">
        <v>377</v>
      </c>
      <c r="D303" s="35">
        <v>1986</v>
      </c>
      <c r="E303" s="35">
        <v>1981</v>
      </c>
      <c r="F303" s="35" t="s">
        <v>342</v>
      </c>
      <c r="G303" s="35" t="s">
        <v>378</v>
      </c>
      <c r="H303" s="35">
        <v>33.32</v>
      </c>
      <c r="I303" s="35">
        <v>-84.43</v>
      </c>
      <c r="J303" s="35">
        <v>246.5</v>
      </c>
      <c r="P303" s="54">
        <v>1</v>
      </c>
      <c r="Q303" s="54"/>
      <c r="R303" s="54"/>
      <c r="S303" s="54" t="s">
        <v>1556</v>
      </c>
      <c r="T303" s="52" t="s">
        <v>1556</v>
      </c>
      <c r="U303" s="54" t="s">
        <v>1565</v>
      </c>
      <c r="V303" s="58" t="s">
        <v>1904</v>
      </c>
      <c r="Z303" s="35" t="s">
        <v>278</v>
      </c>
      <c r="AD303" s="35" t="s">
        <v>1483</v>
      </c>
      <c r="AE303" s="35" t="s">
        <v>159</v>
      </c>
      <c r="AF303" s="152" t="s">
        <v>159</v>
      </c>
      <c r="AG303" s="35" t="s">
        <v>258</v>
      </c>
      <c r="AH303" s="154" t="s">
        <v>258</v>
      </c>
      <c r="AL303" s="35" t="s">
        <v>256</v>
      </c>
      <c r="AM303" s="35" t="s">
        <v>256</v>
      </c>
      <c r="AN303" s="35" t="s">
        <v>212</v>
      </c>
      <c r="AO303" s="35" t="s">
        <v>383</v>
      </c>
      <c r="AP303" s="35" t="s">
        <v>383</v>
      </c>
      <c r="AR303" s="35" t="s">
        <v>147</v>
      </c>
      <c r="AS303" s="35">
        <v>4</v>
      </c>
      <c r="AT303" s="35">
        <v>4</v>
      </c>
      <c r="AU303" s="35" t="s">
        <v>379</v>
      </c>
      <c r="AW303" s="39">
        <f>3.33*1000</f>
        <v>3330</v>
      </c>
      <c r="AX303" s="39">
        <f>3.33/1.09*10</f>
        <v>30.550458715596328</v>
      </c>
      <c r="AY303" s="63"/>
      <c r="AZ303" s="39" t="s">
        <v>384</v>
      </c>
      <c r="BD303" s="35">
        <f>4.79*1000</f>
        <v>4790</v>
      </c>
      <c r="BE303" s="35">
        <f>4.1*1000</f>
        <v>4100</v>
      </c>
      <c r="BF303" s="35" t="s">
        <v>381</v>
      </c>
      <c r="EJ303" s="12"/>
      <c r="EL303" s="15"/>
      <c r="FR303" s="39" t="s">
        <v>394</v>
      </c>
      <c r="FT303" s="35">
        <v>19</v>
      </c>
    </row>
    <row r="304" spans="1:176" s="35" customFormat="1" x14ac:dyDescent="0.25">
      <c r="A304" s="35">
        <v>19</v>
      </c>
      <c r="B304" s="35" t="s">
        <v>376</v>
      </c>
      <c r="C304" s="35" t="s">
        <v>377</v>
      </c>
      <c r="D304" s="35">
        <v>1986</v>
      </c>
      <c r="E304" s="35">
        <v>1981</v>
      </c>
      <c r="F304" s="35" t="s">
        <v>342</v>
      </c>
      <c r="G304" s="35" t="s">
        <v>378</v>
      </c>
      <c r="H304" s="35">
        <v>33.32</v>
      </c>
      <c r="I304" s="35">
        <v>-84.43</v>
      </c>
      <c r="J304" s="35">
        <v>246.5</v>
      </c>
      <c r="P304" s="54">
        <v>1</v>
      </c>
      <c r="Q304" s="54"/>
      <c r="R304" s="54"/>
      <c r="S304" s="54" t="s">
        <v>1556</v>
      </c>
      <c r="T304" s="52" t="s">
        <v>1556</v>
      </c>
      <c r="U304" s="54" t="s">
        <v>1565</v>
      </c>
      <c r="V304" s="58" t="s">
        <v>1904</v>
      </c>
      <c r="Z304" s="35" t="s">
        <v>278</v>
      </c>
      <c r="AD304" s="35" t="s">
        <v>1483</v>
      </c>
      <c r="AE304" s="35" t="s">
        <v>1701</v>
      </c>
      <c r="AF304" s="152" t="s">
        <v>666</v>
      </c>
      <c r="AG304" s="35" t="s">
        <v>258</v>
      </c>
      <c r="AH304" s="154" t="s">
        <v>258</v>
      </c>
      <c r="AL304" s="35" t="s">
        <v>256</v>
      </c>
      <c r="AM304" s="35" t="s">
        <v>256</v>
      </c>
      <c r="AN304" s="35" t="s">
        <v>212</v>
      </c>
      <c r="AO304" s="35" t="s">
        <v>383</v>
      </c>
      <c r="AP304" s="35" t="s">
        <v>383</v>
      </c>
      <c r="AR304" s="35" t="s">
        <v>147</v>
      </c>
      <c r="AS304" s="35">
        <v>4</v>
      </c>
      <c r="AT304" s="35">
        <v>4</v>
      </c>
      <c r="AU304" s="35" t="s">
        <v>379</v>
      </c>
      <c r="AW304" s="39">
        <f>3.53*1000</f>
        <v>3530</v>
      </c>
      <c r="AX304" s="39">
        <f>3.53*10/2.92</f>
        <v>12.08904109589041</v>
      </c>
      <c r="AY304" s="63"/>
      <c r="AZ304" s="39" t="s">
        <v>384</v>
      </c>
      <c r="BD304" s="35">
        <f t="shared" ref="BD304:BD307" si="51">4.79*1000</f>
        <v>4790</v>
      </c>
      <c r="BE304" s="35">
        <f>4.38*1000</f>
        <v>4380</v>
      </c>
      <c r="BF304" s="35" t="s">
        <v>381</v>
      </c>
      <c r="EJ304" s="12"/>
      <c r="EL304" s="15"/>
      <c r="FR304" s="39" t="s">
        <v>394</v>
      </c>
      <c r="FT304" s="35">
        <v>19</v>
      </c>
    </row>
    <row r="305" spans="1:176" s="35" customFormat="1" x14ac:dyDescent="0.25">
      <c r="A305" s="35">
        <v>19</v>
      </c>
      <c r="B305" s="35" t="s">
        <v>376</v>
      </c>
      <c r="C305" s="35" t="s">
        <v>377</v>
      </c>
      <c r="D305" s="35">
        <v>1986</v>
      </c>
      <c r="E305" s="35">
        <v>1981</v>
      </c>
      <c r="F305" s="35" t="s">
        <v>342</v>
      </c>
      <c r="G305" s="35" t="s">
        <v>378</v>
      </c>
      <c r="H305" s="35">
        <v>33.32</v>
      </c>
      <c r="I305" s="35">
        <v>-84.43</v>
      </c>
      <c r="J305" s="35">
        <v>246.5</v>
      </c>
      <c r="P305" s="54">
        <v>1</v>
      </c>
      <c r="Q305" s="54"/>
      <c r="R305" s="54"/>
      <c r="S305" s="54" t="s">
        <v>1556</v>
      </c>
      <c r="T305" s="52" t="s">
        <v>1556</v>
      </c>
      <c r="U305" s="54" t="s">
        <v>1565</v>
      </c>
      <c r="V305" s="58" t="s">
        <v>1904</v>
      </c>
      <c r="Z305" s="35" t="s">
        <v>278</v>
      </c>
      <c r="AD305" s="35" t="s">
        <v>1483</v>
      </c>
      <c r="AE305" s="35" t="s">
        <v>1712</v>
      </c>
      <c r="AF305" s="152" t="s">
        <v>666</v>
      </c>
      <c r="AG305" s="35" t="s">
        <v>258</v>
      </c>
      <c r="AH305" s="154" t="s">
        <v>258</v>
      </c>
      <c r="AL305" s="35" t="s">
        <v>256</v>
      </c>
      <c r="AM305" s="35" t="s">
        <v>256</v>
      </c>
      <c r="AN305" s="35" t="s">
        <v>212</v>
      </c>
      <c r="AO305" s="35" t="s">
        <v>383</v>
      </c>
      <c r="AP305" s="35" t="s">
        <v>383</v>
      </c>
      <c r="AR305" s="35" t="s">
        <v>147</v>
      </c>
      <c r="AS305" s="35">
        <v>4</v>
      </c>
      <c r="AT305" s="35">
        <v>4</v>
      </c>
      <c r="AU305" s="35" t="s">
        <v>379</v>
      </c>
      <c r="AW305" s="39">
        <f>2.96*1000</f>
        <v>2960</v>
      </c>
      <c r="AX305" s="39">
        <f>2.96/2.77*10</f>
        <v>10.685920577617329</v>
      </c>
      <c r="AY305" s="63"/>
      <c r="AZ305" s="39" t="s">
        <v>384</v>
      </c>
      <c r="BD305" s="35">
        <f t="shared" si="51"/>
        <v>4790</v>
      </c>
      <c r="BE305" s="35">
        <f>4.12*1000</f>
        <v>4120</v>
      </c>
      <c r="BF305" s="35" t="s">
        <v>381</v>
      </c>
      <c r="EJ305" s="12"/>
      <c r="EL305" s="15"/>
      <c r="FR305" s="39" t="s">
        <v>394</v>
      </c>
      <c r="FT305" s="35">
        <v>19</v>
      </c>
    </row>
    <row r="306" spans="1:176" s="35" customFormat="1" x14ac:dyDescent="0.25">
      <c r="A306" s="35">
        <v>19</v>
      </c>
      <c r="B306" s="35" t="s">
        <v>376</v>
      </c>
      <c r="C306" s="35" t="s">
        <v>377</v>
      </c>
      <c r="D306" s="35">
        <v>1986</v>
      </c>
      <c r="E306" s="35">
        <v>1981</v>
      </c>
      <c r="F306" s="35" t="s">
        <v>342</v>
      </c>
      <c r="G306" s="35" t="s">
        <v>378</v>
      </c>
      <c r="H306" s="35">
        <v>33.32</v>
      </c>
      <c r="I306" s="35">
        <v>-84.43</v>
      </c>
      <c r="J306" s="35">
        <v>246.5</v>
      </c>
      <c r="P306" s="54">
        <v>1</v>
      </c>
      <c r="Q306" s="54"/>
      <c r="R306" s="54"/>
      <c r="S306" s="54" t="s">
        <v>1556</v>
      </c>
      <c r="T306" s="52" t="s">
        <v>1556</v>
      </c>
      <c r="U306" s="54" t="s">
        <v>1565</v>
      </c>
      <c r="V306" s="58" t="s">
        <v>1904</v>
      </c>
      <c r="Z306" s="35" t="s">
        <v>278</v>
      </c>
      <c r="AD306" s="35" t="s">
        <v>1483</v>
      </c>
      <c r="AE306" s="35" t="s">
        <v>281</v>
      </c>
      <c r="AF306" s="152" t="s">
        <v>666</v>
      </c>
      <c r="AG306" s="35" t="s">
        <v>258</v>
      </c>
      <c r="AH306" s="154" t="s">
        <v>258</v>
      </c>
      <c r="AL306" s="35" t="s">
        <v>256</v>
      </c>
      <c r="AM306" s="35" t="s">
        <v>256</v>
      </c>
      <c r="AN306" s="35" t="s">
        <v>212</v>
      </c>
      <c r="AO306" s="35" t="s">
        <v>383</v>
      </c>
      <c r="AP306" s="35" t="s">
        <v>383</v>
      </c>
      <c r="AR306" s="35" t="s">
        <v>147</v>
      </c>
      <c r="AS306" s="35">
        <v>4</v>
      </c>
      <c r="AT306" s="35">
        <v>4</v>
      </c>
      <c r="AU306" s="35" t="s">
        <v>379</v>
      </c>
      <c r="AW306" s="39">
        <f>4.06*1000</f>
        <v>4059.9999999999995</v>
      </c>
      <c r="AX306" s="39">
        <f>4.06/3.01*10</f>
        <v>13.488372093023255</v>
      </c>
      <c r="AY306" s="63"/>
      <c r="AZ306" s="39" t="s">
        <v>384</v>
      </c>
      <c r="BD306" s="35">
        <f t="shared" si="51"/>
        <v>4790</v>
      </c>
      <c r="BE306" s="35">
        <f>4.53*1000</f>
        <v>4530</v>
      </c>
      <c r="BF306" s="35" t="s">
        <v>381</v>
      </c>
      <c r="EJ306" s="12"/>
      <c r="EL306" s="15"/>
      <c r="FR306" s="39" t="s">
        <v>394</v>
      </c>
      <c r="FT306" s="35">
        <v>19</v>
      </c>
    </row>
    <row r="307" spans="1:176" s="35" customFormat="1" x14ac:dyDescent="0.25">
      <c r="A307" s="35">
        <v>19</v>
      </c>
      <c r="B307" s="35" t="s">
        <v>376</v>
      </c>
      <c r="C307" s="35" t="s">
        <v>377</v>
      </c>
      <c r="D307" s="35">
        <v>1986</v>
      </c>
      <c r="E307" s="35">
        <v>1981</v>
      </c>
      <c r="F307" s="35" t="s">
        <v>342</v>
      </c>
      <c r="G307" s="35" t="s">
        <v>378</v>
      </c>
      <c r="H307" s="35">
        <v>33.32</v>
      </c>
      <c r="I307" s="35">
        <v>-84.43</v>
      </c>
      <c r="J307" s="35">
        <v>246.5</v>
      </c>
      <c r="P307" s="54">
        <v>1</v>
      </c>
      <c r="Q307" s="54"/>
      <c r="R307" s="54"/>
      <c r="S307" s="54" t="s">
        <v>1556</v>
      </c>
      <c r="T307" s="52" t="s">
        <v>1556</v>
      </c>
      <c r="U307" s="54" t="s">
        <v>1565</v>
      </c>
      <c r="V307" s="58" t="s">
        <v>1904</v>
      </c>
      <c r="Z307" s="35" t="s">
        <v>278</v>
      </c>
      <c r="AD307" s="35" t="s">
        <v>1483</v>
      </c>
      <c r="AE307" s="35" t="s">
        <v>1713</v>
      </c>
      <c r="AF307" s="152" t="s">
        <v>666</v>
      </c>
      <c r="AG307" s="35" t="s">
        <v>258</v>
      </c>
      <c r="AH307" s="154" t="s">
        <v>258</v>
      </c>
      <c r="AL307" s="35" t="s">
        <v>256</v>
      </c>
      <c r="AM307" s="35" t="s">
        <v>256</v>
      </c>
      <c r="AN307" s="35" t="s">
        <v>212</v>
      </c>
      <c r="AO307" s="35" t="s">
        <v>383</v>
      </c>
      <c r="AP307" s="35" t="s">
        <v>383</v>
      </c>
      <c r="AR307" s="35" t="s">
        <v>147</v>
      </c>
      <c r="AS307" s="35">
        <v>4</v>
      </c>
      <c r="AT307" s="35">
        <v>4</v>
      </c>
      <c r="AU307" s="35" t="s">
        <v>379</v>
      </c>
      <c r="AW307" s="39">
        <f>3.96*1000</f>
        <v>3960</v>
      </c>
      <c r="AX307" s="39">
        <f>3.96/2.96*10</f>
        <v>13.378378378378379</v>
      </c>
      <c r="AY307" s="63"/>
      <c r="AZ307" s="39" t="s">
        <v>384</v>
      </c>
      <c r="BD307" s="35">
        <f t="shared" si="51"/>
        <v>4790</v>
      </c>
      <c r="BE307" s="35">
        <f>4.1*1000</f>
        <v>4100</v>
      </c>
      <c r="BF307" s="35" t="s">
        <v>381</v>
      </c>
      <c r="EJ307" s="12"/>
      <c r="EL307" s="15"/>
      <c r="FR307" s="39" t="s">
        <v>394</v>
      </c>
      <c r="FT307" s="35">
        <v>19</v>
      </c>
    </row>
    <row r="308" spans="1:176" s="26" customFormat="1" x14ac:dyDescent="0.25">
      <c r="A308" s="26">
        <v>19</v>
      </c>
      <c r="B308" s="26" t="s">
        <v>376</v>
      </c>
      <c r="C308" s="26" t="s">
        <v>377</v>
      </c>
      <c r="D308" s="26">
        <v>1986</v>
      </c>
      <c r="E308" s="26">
        <v>1982</v>
      </c>
      <c r="F308" s="26" t="s">
        <v>342</v>
      </c>
      <c r="G308" s="26" t="s">
        <v>378</v>
      </c>
      <c r="H308" s="26">
        <v>33.32</v>
      </c>
      <c r="I308" s="26">
        <v>-84.43</v>
      </c>
      <c r="J308" s="26">
        <v>246.5</v>
      </c>
      <c r="P308" s="52">
        <v>2</v>
      </c>
      <c r="Q308" s="52"/>
      <c r="R308" s="52"/>
      <c r="S308" s="52" t="s">
        <v>1557</v>
      </c>
      <c r="T308" s="52" t="s">
        <v>1556</v>
      </c>
      <c r="U308" s="52" t="s">
        <v>1565</v>
      </c>
      <c r="V308" s="52" t="s">
        <v>1904</v>
      </c>
      <c r="Z308" s="26" t="s">
        <v>278</v>
      </c>
      <c r="AD308" s="26" t="s">
        <v>1483</v>
      </c>
      <c r="AE308" s="26" t="s">
        <v>159</v>
      </c>
      <c r="AF308" s="152" t="s">
        <v>159</v>
      </c>
      <c r="AG308" s="26" t="s">
        <v>258</v>
      </c>
      <c r="AH308" s="154" t="s">
        <v>258</v>
      </c>
      <c r="AL308" s="26" t="s">
        <v>256</v>
      </c>
      <c r="AM308" s="26" t="s">
        <v>256</v>
      </c>
      <c r="AN308" s="26" t="s">
        <v>212</v>
      </c>
      <c r="AO308" s="35" t="s">
        <v>383</v>
      </c>
      <c r="AP308" s="35" t="s">
        <v>383</v>
      </c>
      <c r="AQ308" s="35"/>
      <c r="AR308" s="26" t="s">
        <v>147</v>
      </c>
      <c r="AS308" s="26">
        <v>4</v>
      </c>
      <c r="AT308" s="26">
        <v>4</v>
      </c>
      <c r="AU308" s="26" t="s">
        <v>379</v>
      </c>
      <c r="AW308" s="26">
        <f>3.93*1000</f>
        <v>3930</v>
      </c>
      <c r="AX308" s="26">
        <f>3.93/0.89*10</f>
        <v>44.157303370786522</v>
      </c>
      <c r="AY308" s="63"/>
      <c r="AZ308" s="39" t="s">
        <v>384</v>
      </c>
      <c r="BD308" s="26">
        <f>4.06*1000</f>
        <v>4059.9999999999995</v>
      </c>
      <c r="BE308" s="26">
        <f>4.55*1000</f>
        <v>4550</v>
      </c>
      <c r="BF308" s="35" t="s">
        <v>381</v>
      </c>
      <c r="EJ308" s="12"/>
      <c r="EL308" s="15"/>
      <c r="FR308" s="39" t="s">
        <v>394</v>
      </c>
      <c r="FT308" s="26">
        <v>19</v>
      </c>
    </row>
    <row r="309" spans="1:176" s="26" customFormat="1" x14ac:dyDescent="0.25">
      <c r="A309" s="26">
        <v>19</v>
      </c>
      <c r="B309" s="26" t="s">
        <v>376</v>
      </c>
      <c r="C309" s="26" t="s">
        <v>377</v>
      </c>
      <c r="D309" s="26">
        <v>1986</v>
      </c>
      <c r="E309" s="26">
        <v>1982</v>
      </c>
      <c r="F309" s="26" t="s">
        <v>342</v>
      </c>
      <c r="G309" s="26" t="s">
        <v>378</v>
      </c>
      <c r="H309" s="26">
        <v>33.32</v>
      </c>
      <c r="I309" s="26">
        <v>-84.43</v>
      </c>
      <c r="J309" s="26">
        <v>246.5</v>
      </c>
      <c r="P309" s="52">
        <v>2</v>
      </c>
      <c r="Q309" s="52"/>
      <c r="R309" s="52"/>
      <c r="S309" s="52" t="s">
        <v>1557</v>
      </c>
      <c r="T309" s="52" t="s">
        <v>1556</v>
      </c>
      <c r="U309" s="52" t="s">
        <v>1565</v>
      </c>
      <c r="V309" s="52" t="s">
        <v>1904</v>
      </c>
      <c r="Z309" s="26" t="s">
        <v>278</v>
      </c>
      <c r="AD309" s="26" t="s">
        <v>1483</v>
      </c>
      <c r="AE309" s="26" t="s">
        <v>1701</v>
      </c>
      <c r="AF309" s="152" t="s">
        <v>666</v>
      </c>
      <c r="AG309" s="26" t="s">
        <v>258</v>
      </c>
      <c r="AH309" s="154" t="s">
        <v>258</v>
      </c>
      <c r="AL309" s="26" t="s">
        <v>256</v>
      </c>
      <c r="AM309" s="26" t="s">
        <v>256</v>
      </c>
      <c r="AN309" s="26" t="s">
        <v>212</v>
      </c>
      <c r="AO309" s="35" t="s">
        <v>383</v>
      </c>
      <c r="AP309" s="35" t="s">
        <v>383</v>
      </c>
      <c r="AQ309" s="35"/>
      <c r="AR309" s="26" t="s">
        <v>147</v>
      </c>
      <c r="AS309" s="26">
        <v>4</v>
      </c>
      <c r="AT309" s="26">
        <v>4</v>
      </c>
      <c r="AU309" s="26" t="s">
        <v>379</v>
      </c>
      <c r="AW309" s="26">
        <f>9.21*1000</f>
        <v>9210</v>
      </c>
      <c r="AX309" s="26">
        <f>9.21/2.18*10</f>
        <v>42.247706422018354</v>
      </c>
      <c r="AY309" s="63"/>
      <c r="AZ309" s="39" t="s">
        <v>384</v>
      </c>
      <c r="BD309" s="26">
        <f t="shared" ref="BD309:BD312" si="52">4.06*1000</f>
        <v>4059.9999999999995</v>
      </c>
      <c r="BE309" s="26">
        <f>4.73*1000</f>
        <v>4730</v>
      </c>
      <c r="BF309" s="35" t="s">
        <v>381</v>
      </c>
      <c r="EJ309" s="12"/>
      <c r="EL309" s="15"/>
      <c r="FR309" s="39" t="s">
        <v>394</v>
      </c>
      <c r="FT309" s="26">
        <v>19</v>
      </c>
    </row>
    <row r="310" spans="1:176" s="26" customFormat="1" x14ac:dyDescent="0.25">
      <c r="A310" s="26">
        <v>19</v>
      </c>
      <c r="B310" s="26" t="s">
        <v>376</v>
      </c>
      <c r="C310" s="26" t="s">
        <v>377</v>
      </c>
      <c r="D310" s="26">
        <v>1986</v>
      </c>
      <c r="E310" s="26">
        <v>1982</v>
      </c>
      <c r="F310" s="26" t="s">
        <v>342</v>
      </c>
      <c r="G310" s="26" t="s">
        <v>378</v>
      </c>
      <c r="H310" s="26">
        <v>33.32</v>
      </c>
      <c r="I310" s="26">
        <v>-84.43</v>
      </c>
      <c r="J310" s="26">
        <v>246.5</v>
      </c>
      <c r="P310" s="52">
        <v>2</v>
      </c>
      <c r="Q310" s="52"/>
      <c r="R310" s="52"/>
      <c r="S310" s="52" t="s">
        <v>1557</v>
      </c>
      <c r="T310" s="52" t="s">
        <v>1556</v>
      </c>
      <c r="U310" s="52" t="s">
        <v>1565</v>
      </c>
      <c r="V310" s="52" t="s">
        <v>1904</v>
      </c>
      <c r="Z310" s="26" t="s">
        <v>278</v>
      </c>
      <c r="AD310" s="26" t="s">
        <v>1483</v>
      </c>
      <c r="AE310" s="26" t="s">
        <v>1712</v>
      </c>
      <c r="AF310" s="152" t="s">
        <v>666</v>
      </c>
      <c r="AG310" s="26" t="s">
        <v>258</v>
      </c>
      <c r="AH310" s="154" t="s">
        <v>258</v>
      </c>
      <c r="AL310" s="26" t="s">
        <v>256</v>
      </c>
      <c r="AM310" s="26" t="s">
        <v>256</v>
      </c>
      <c r="AN310" s="26" t="s">
        <v>212</v>
      </c>
      <c r="AO310" s="35" t="s">
        <v>383</v>
      </c>
      <c r="AP310" s="35" t="s">
        <v>383</v>
      </c>
      <c r="AQ310" s="35"/>
      <c r="AR310" s="26" t="s">
        <v>147</v>
      </c>
      <c r="AS310" s="26">
        <v>4</v>
      </c>
      <c r="AT310" s="26">
        <v>4</v>
      </c>
      <c r="AU310" s="26" t="s">
        <v>379</v>
      </c>
      <c r="AW310" s="26">
        <f>4.06*1000</f>
        <v>4059.9999999999995</v>
      </c>
      <c r="AX310" s="26">
        <f>4.06/2.77*10</f>
        <v>14.657039711191334</v>
      </c>
      <c r="AY310" s="63"/>
      <c r="AZ310" s="39" t="s">
        <v>384</v>
      </c>
      <c r="BD310" s="26">
        <f t="shared" si="52"/>
        <v>4059.9999999999995</v>
      </c>
      <c r="BE310" s="26">
        <f>4.96*1000</f>
        <v>4960</v>
      </c>
      <c r="BF310" s="35" t="s">
        <v>381</v>
      </c>
      <c r="EJ310" s="12"/>
      <c r="EL310" s="15"/>
      <c r="FR310" s="39" t="s">
        <v>394</v>
      </c>
      <c r="FT310" s="26">
        <v>19</v>
      </c>
    </row>
    <row r="311" spans="1:176" s="26" customFormat="1" x14ac:dyDescent="0.25">
      <c r="A311" s="26">
        <v>19</v>
      </c>
      <c r="B311" s="26" t="s">
        <v>376</v>
      </c>
      <c r="C311" s="26" t="s">
        <v>377</v>
      </c>
      <c r="D311" s="26">
        <v>1986</v>
      </c>
      <c r="E311" s="26">
        <v>1982</v>
      </c>
      <c r="F311" s="26" t="s">
        <v>342</v>
      </c>
      <c r="G311" s="26" t="s">
        <v>378</v>
      </c>
      <c r="H311" s="26">
        <v>33.32</v>
      </c>
      <c r="I311" s="26">
        <v>-84.43</v>
      </c>
      <c r="J311" s="26">
        <v>246.5</v>
      </c>
      <c r="P311" s="52">
        <v>2</v>
      </c>
      <c r="Q311" s="52"/>
      <c r="R311" s="52"/>
      <c r="S311" s="52" t="s">
        <v>1557</v>
      </c>
      <c r="T311" s="52" t="s">
        <v>1556</v>
      </c>
      <c r="U311" s="52" t="s">
        <v>1565</v>
      </c>
      <c r="V311" s="52" t="s">
        <v>1904</v>
      </c>
      <c r="Z311" s="26" t="s">
        <v>278</v>
      </c>
      <c r="AD311" s="26" t="s">
        <v>1483</v>
      </c>
      <c r="AE311" s="26" t="s">
        <v>281</v>
      </c>
      <c r="AF311" s="152" t="s">
        <v>666</v>
      </c>
      <c r="AG311" s="26" t="s">
        <v>258</v>
      </c>
      <c r="AH311" s="154" t="s">
        <v>258</v>
      </c>
      <c r="AL311" s="26" t="s">
        <v>256</v>
      </c>
      <c r="AM311" s="26" t="s">
        <v>256</v>
      </c>
      <c r="AN311" s="26" t="s">
        <v>212</v>
      </c>
      <c r="AO311" s="35" t="s">
        <v>383</v>
      </c>
      <c r="AP311" s="35" t="s">
        <v>383</v>
      </c>
      <c r="AQ311" s="35"/>
      <c r="AR311" s="26" t="s">
        <v>147</v>
      </c>
      <c r="AS311" s="26">
        <v>4</v>
      </c>
      <c r="AT311" s="26">
        <v>4</v>
      </c>
      <c r="AU311" s="26" t="s">
        <v>379</v>
      </c>
      <c r="AW311" s="26">
        <f>4.54*1000</f>
        <v>4540</v>
      </c>
      <c r="AX311" s="26">
        <f>4.54/3.38*10</f>
        <v>13.431952662721894</v>
      </c>
      <c r="AY311" s="63"/>
      <c r="AZ311" s="39" t="s">
        <v>384</v>
      </c>
      <c r="BD311" s="26">
        <f t="shared" si="52"/>
        <v>4059.9999999999995</v>
      </c>
      <c r="BE311" s="26">
        <f>4.86*1000</f>
        <v>4860</v>
      </c>
      <c r="BF311" s="35" t="s">
        <v>381</v>
      </c>
      <c r="EJ311" s="12"/>
      <c r="EL311" s="15"/>
      <c r="FR311" s="39" t="s">
        <v>394</v>
      </c>
      <c r="FT311" s="26">
        <v>19</v>
      </c>
    </row>
    <row r="312" spans="1:176" s="26" customFormat="1" x14ac:dyDescent="0.25">
      <c r="A312" s="26">
        <v>19</v>
      </c>
      <c r="B312" s="26" t="s">
        <v>376</v>
      </c>
      <c r="C312" s="26" t="s">
        <v>377</v>
      </c>
      <c r="D312" s="26">
        <v>1986</v>
      </c>
      <c r="E312" s="26">
        <v>1982</v>
      </c>
      <c r="F312" s="26" t="s">
        <v>342</v>
      </c>
      <c r="G312" s="26" t="s">
        <v>378</v>
      </c>
      <c r="H312" s="26">
        <v>33.32</v>
      </c>
      <c r="I312" s="26">
        <v>-84.43</v>
      </c>
      <c r="J312" s="26">
        <v>246.5</v>
      </c>
      <c r="P312" s="52">
        <v>2</v>
      </c>
      <c r="Q312" s="52"/>
      <c r="R312" s="52"/>
      <c r="S312" s="52" t="s">
        <v>1557</v>
      </c>
      <c r="T312" s="52" t="s">
        <v>1556</v>
      </c>
      <c r="U312" s="52" t="s">
        <v>1565</v>
      </c>
      <c r="V312" s="52" t="s">
        <v>1904</v>
      </c>
      <c r="Z312" s="26" t="s">
        <v>278</v>
      </c>
      <c r="AD312" s="26" t="s">
        <v>1483</v>
      </c>
      <c r="AE312" s="26" t="s">
        <v>1713</v>
      </c>
      <c r="AF312" s="152" t="s">
        <v>666</v>
      </c>
      <c r="AG312" s="26" t="s">
        <v>258</v>
      </c>
      <c r="AH312" s="154" t="s">
        <v>258</v>
      </c>
      <c r="AL312" s="26" t="s">
        <v>256</v>
      </c>
      <c r="AM312" s="26" t="s">
        <v>256</v>
      </c>
      <c r="AN312" s="26" t="s">
        <v>212</v>
      </c>
      <c r="AO312" s="35" t="s">
        <v>383</v>
      </c>
      <c r="AP312" s="35" t="s">
        <v>383</v>
      </c>
      <c r="AQ312" s="35"/>
      <c r="AR312" s="26" t="s">
        <v>147</v>
      </c>
      <c r="AS312" s="26">
        <v>4</v>
      </c>
      <c r="AT312" s="26">
        <v>4</v>
      </c>
      <c r="AU312" s="26" t="s">
        <v>379</v>
      </c>
      <c r="AW312" s="26">
        <f>4.7*1000</f>
        <v>4700</v>
      </c>
      <c r="AX312" s="26">
        <f>4.7/3*10</f>
        <v>15.666666666666666</v>
      </c>
      <c r="AY312" s="63"/>
      <c r="AZ312" s="39" t="s">
        <v>384</v>
      </c>
      <c r="BD312" s="26">
        <f t="shared" si="52"/>
        <v>4059.9999999999995</v>
      </c>
      <c r="BE312" s="26">
        <f>4.97*1000</f>
        <v>4970</v>
      </c>
      <c r="BF312" s="35" t="s">
        <v>381</v>
      </c>
      <c r="EJ312" s="12"/>
      <c r="EL312" s="15"/>
      <c r="FR312" s="39" t="s">
        <v>394</v>
      </c>
      <c r="FT312" s="26">
        <v>19</v>
      </c>
    </row>
    <row r="313" spans="1:176" s="39" customFormat="1" x14ac:dyDescent="0.25">
      <c r="A313" s="39">
        <v>19</v>
      </c>
      <c r="B313" s="39" t="s">
        <v>376</v>
      </c>
      <c r="C313" s="39" t="s">
        <v>377</v>
      </c>
      <c r="D313" s="39">
        <v>1986</v>
      </c>
      <c r="E313" s="39">
        <v>1983</v>
      </c>
      <c r="F313" s="39" t="s">
        <v>342</v>
      </c>
      <c r="G313" s="39" t="s">
        <v>378</v>
      </c>
      <c r="H313" s="39">
        <v>33.32</v>
      </c>
      <c r="I313" s="39">
        <v>-84.43</v>
      </c>
      <c r="J313" s="39">
        <v>246.5</v>
      </c>
      <c r="P313" s="58">
        <v>3</v>
      </c>
      <c r="Q313" s="58"/>
      <c r="R313" s="58"/>
      <c r="S313" s="58" t="s">
        <v>1566</v>
      </c>
      <c r="T313" s="58" t="s">
        <v>1556</v>
      </c>
      <c r="U313" s="58" t="s">
        <v>1565</v>
      </c>
      <c r="V313" s="58" t="s">
        <v>1905</v>
      </c>
      <c r="Z313" s="39" t="s">
        <v>278</v>
      </c>
      <c r="AD313" s="39" t="s">
        <v>1483</v>
      </c>
      <c r="AE313" s="39" t="s">
        <v>159</v>
      </c>
      <c r="AF313" s="152" t="s">
        <v>159</v>
      </c>
      <c r="AG313" s="39" t="s">
        <v>258</v>
      </c>
      <c r="AH313" s="154" t="s">
        <v>258</v>
      </c>
      <c r="AL313" s="39" t="s">
        <v>256</v>
      </c>
      <c r="AM313" s="39" t="s">
        <v>256</v>
      </c>
      <c r="AN313" s="39" t="s">
        <v>212</v>
      </c>
      <c r="AO313" s="35" t="s">
        <v>383</v>
      </c>
      <c r="AP313" s="35" t="s">
        <v>383</v>
      </c>
      <c r="AQ313" s="35"/>
      <c r="AR313" s="39" t="s">
        <v>147</v>
      </c>
      <c r="AS313" s="39">
        <v>4</v>
      </c>
      <c r="AT313" s="39">
        <v>4</v>
      </c>
      <c r="AU313" s="39" t="s">
        <v>379</v>
      </c>
      <c r="AW313" s="39">
        <f>4.83*1000</f>
        <v>4830</v>
      </c>
      <c r="AX313" s="39">
        <f>4.83/0.97*10</f>
        <v>49.793814432989691</v>
      </c>
      <c r="AY313" s="63"/>
      <c r="AZ313" s="39" t="s">
        <v>384</v>
      </c>
      <c r="BD313" s="39">
        <f>2.87*1000</f>
        <v>2870</v>
      </c>
      <c r="BE313" s="39">
        <f>2.96*1000</f>
        <v>2960</v>
      </c>
      <c r="BF313" s="35" t="s">
        <v>381</v>
      </c>
      <c r="EJ313" s="12"/>
      <c r="EL313" s="15"/>
      <c r="FR313" s="39" t="s">
        <v>394</v>
      </c>
      <c r="FT313" s="39">
        <v>19</v>
      </c>
    </row>
    <row r="314" spans="1:176" s="39" customFormat="1" x14ac:dyDescent="0.25">
      <c r="A314" s="39">
        <v>19</v>
      </c>
      <c r="B314" s="39" t="s">
        <v>376</v>
      </c>
      <c r="C314" s="39" t="s">
        <v>377</v>
      </c>
      <c r="D314" s="39">
        <v>1986</v>
      </c>
      <c r="E314" s="39">
        <v>1983</v>
      </c>
      <c r="F314" s="39" t="s">
        <v>342</v>
      </c>
      <c r="G314" s="39" t="s">
        <v>378</v>
      </c>
      <c r="H314" s="39">
        <v>33.32</v>
      </c>
      <c r="I314" s="39">
        <v>-84.43</v>
      </c>
      <c r="J314" s="39">
        <v>246.5</v>
      </c>
      <c r="P314" s="58">
        <v>3</v>
      </c>
      <c r="Q314" s="58"/>
      <c r="R314" s="58"/>
      <c r="S314" s="58" t="s">
        <v>1566</v>
      </c>
      <c r="T314" s="58" t="s">
        <v>1556</v>
      </c>
      <c r="U314" s="58" t="s">
        <v>1565</v>
      </c>
      <c r="V314" s="58" t="s">
        <v>1905</v>
      </c>
      <c r="Z314" s="39" t="s">
        <v>278</v>
      </c>
      <c r="AD314" s="39" t="s">
        <v>1483</v>
      </c>
      <c r="AE314" s="39" t="s">
        <v>1701</v>
      </c>
      <c r="AF314" s="152" t="s">
        <v>666</v>
      </c>
      <c r="AG314" s="39" t="s">
        <v>258</v>
      </c>
      <c r="AH314" s="154" t="s">
        <v>258</v>
      </c>
      <c r="AL314" s="39" t="s">
        <v>256</v>
      </c>
      <c r="AM314" s="39" t="s">
        <v>256</v>
      </c>
      <c r="AN314" s="39" t="s">
        <v>212</v>
      </c>
      <c r="AO314" s="35" t="s">
        <v>383</v>
      </c>
      <c r="AP314" s="35" t="s">
        <v>383</v>
      </c>
      <c r="AQ314" s="35"/>
      <c r="AR314" s="39" t="s">
        <v>147</v>
      </c>
      <c r="AS314" s="39">
        <v>4</v>
      </c>
      <c r="AT314" s="39">
        <v>4</v>
      </c>
      <c r="AU314" s="39" t="s">
        <v>379</v>
      </c>
      <c r="AW314" s="39">
        <f>8.77*1000</f>
        <v>8770</v>
      </c>
      <c r="AX314" s="39">
        <f>8.77/2.47*10</f>
        <v>35.506072874493924</v>
      </c>
      <c r="AY314" s="63"/>
      <c r="AZ314" s="39" t="s">
        <v>384</v>
      </c>
      <c r="BD314" s="39">
        <f t="shared" ref="BD314:BD317" si="53">2.87*1000</f>
        <v>2870</v>
      </c>
      <c r="BE314" s="39">
        <f>3.56*1000</f>
        <v>3560</v>
      </c>
      <c r="BF314" s="35" t="s">
        <v>381</v>
      </c>
      <c r="EJ314" s="12"/>
      <c r="EL314" s="15"/>
      <c r="FR314" s="39" t="s">
        <v>394</v>
      </c>
      <c r="FT314" s="39">
        <v>19</v>
      </c>
    </row>
    <row r="315" spans="1:176" s="39" customFormat="1" x14ac:dyDescent="0.25">
      <c r="A315" s="39">
        <v>19</v>
      </c>
      <c r="B315" s="39" t="s">
        <v>376</v>
      </c>
      <c r="C315" s="39" t="s">
        <v>377</v>
      </c>
      <c r="D315" s="39">
        <v>1986</v>
      </c>
      <c r="E315" s="39">
        <v>1983</v>
      </c>
      <c r="F315" s="39" t="s">
        <v>342</v>
      </c>
      <c r="G315" s="39" t="s">
        <v>378</v>
      </c>
      <c r="H315" s="39">
        <v>33.32</v>
      </c>
      <c r="I315" s="39">
        <v>-84.43</v>
      </c>
      <c r="J315" s="39">
        <v>246.5</v>
      </c>
      <c r="P315" s="58">
        <v>3</v>
      </c>
      <c r="Q315" s="58"/>
      <c r="R315" s="58"/>
      <c r="S315" s="58" t="s">
        <v>1566</v>
      </c>
      <c r="T315" s="58" t="s">
        <v>1556</v>
      </c>
      <c r="U315" s="58" t="s">
        <v>1565</v>
      </c>
      <c r="V315" s="58" t="s">
        <v>1905</v>
      </c>
      <c r="Z315" s="39" t="s">
        <v>278</v>
      </c>
      <c r="AD315" s="39" t="s">
        <v>1483</v>
      </c>
      <c r="AE315" s="39" t="s">
        <v>1712</v>
      </c>
      <c r="AF315" s="152" t="s">
        <v>666</v>
      </c>
      <c r="AG315" s="39" t="s">
        <v>258</v>
      </c>
      <c r="AH315" s="154" t="s">
        <v>258</v>
      </c>
      <c r="AL315" s="39" t="s">
        <v>256</v>
      </c>
      <c r="AM315" s="39" t="s">
        <v>256</v>
      </c>
      <c r="AN315" s="39" t="s">
        <v>212</v>
      </c>
      <c r="AO315" s="35" t="s">
        <v>383</v>
      </c>
      <c r="AP315" s="35" t="s">
        <v>383</v>
      </c>
      <c r="AQ315" s="35"/>
      <c r="AR315" s="39" t="s">
        <v>147</v>
      </c>
      <c r="AS315" s="39">
        <v>4</v>
      </c>
      <c r="AT315" s="39">
        <v>4</v>
      </c>
      <c r="AU315" s="39" t="s">
        <v>379</v>
      </c>
      <c r="AW315" s="39">
        <f>4.97*1000</f>
        <v>4970</v>
      </c>
      <c r="AX315" s="39">
        <f>4.97/2.99*10</f>
        <v>16.622073578595316</v>
      </c>
      <c r="AY315" s="63"/>
      <c r="AZ315" s="39" t="s">
        <v>384</v>
      </c>
      <c r="BD315" s="39">
        <f t="shared" si="53"/>
        <v>2870</v>
      </c>
      <c r="BE315" s="39">
        <f>2.5*1000</f>
        <v>2500</v>
      </c>
      <c r="BF315" s="35" t="s">
        <v>381</v>
      </c>
      <c r="EJ315" s="12"/>
      <c r="EL315" s="15"/>
      <c r="FR315" s="39" t="s">
        <v>394</v>
      </c>
      <c r="FT315" s="39">
        <v>19</v>
      </c>
    </row>
    <row r="316" spans="1:176" s="39" customFormat="1" x14ac:dyDescent="0.25">
      <c r="A316" s="39">
        <v>19</v>
      </c>
      <c r="B316" s="39" t="s">
        <v>376</v>
      </c>
      <c r="C316" s="39" t="s">
        <v>377</v>
      </c>
      <c r="D316" s="39">
        <v>1986</v>
      </c>
      <c r="E316" s="39">
        <v>1983</v>
      </c>
      <c r="F316" s="39" t="s">
        <v>342</v>
      </c>
      <c r="G316" s="39" t="s">
        <v>378</v>
      </c>
      <c r="H316" s="39">
        <v>33.32</v>
      </c>
      <c r="I316" s="39">
        <v>-84.43</v>
      </c>
      <c r="J316" s="39">
        <v>246.5</v>
      </c>
      <c r="P316" s="58">
        <v>3</v>
      </c>
      <c r="Q316" s="58"/>
      <c r="R316" s="58"/>
      <c r="S316" s="58" t="s">
        <v>1566</v>
      </c>
      <c r="T316" s="58" t="s">
        <v>1556</v>
      </c>
      <c r="U316" s="58" t="s">
        <v>1565</v>
      </c>
      <c r="V316" s="58" t="s">
        <v>1905</v>
      </c>
      <c r="Z316" s="39" t="s">
        <v>278</v>
      </c>
      <c r="AD316" s="39" t="s">
        <v>1483</v>
      </c>
      <c r="AE316" s="39" t="s">
        <v>281</v>
      </c>
      <c r="AF316" s="152" t="s">
        <v>666</v>
      </c>
      <c r="AG316" s="39" t="s">
        <v>258</v>
      </c>
      <c r="AH316" s="154" t="s">
        <v>258</v>
      </c>
      <c r="AL316" s="39" t="s">
        <v>256</v>
      </c>
      <c r="AM316" s="39" t="s">
        <v>256</v>
      </c>
      <c r="AN316" s="39" t="s">
        <v>212</v>
      </c>
      <c r="AO316" s="35" t="s">
        <v>383</v>
      </c>
      <c r="AP316" s="35" t="s">
        <v>383</v>
      </c>
      <c r="AQ316" s="35"/>
      <c r="AR316" s="39" t="s">
        <v>147</v>
      </c>
      <c r="AS316" s="39">
        <v>4</v>
      </c>
      <c r="AT316" s="39">
        <v>4</v>
      </c>
      <c r="AU316" s="39" t="s">
        <v>379</v>
      </c>
      <c r="AW316" s="39">
        <f>4.15*1000</f>
        <v>4150</v>
      </c>
      <c r="AX316" s="39">
        <f>4.15/4.5*10</f>
        <v>9.2222222222222232</v>
      </c>
      <c r="AY316" s="63"/>
      <c r="AZ316" s="39" t="s">
        <v>384</v>
      </c>
      <c r="BD316" s="39">
        <f t="shared" si="53"/>
        <v>2870</v>
      </c>
      <c r="BE316" s="39">
        <f>1.98*1000</f>
        <v>1980</v>
      </c>
      <c r="BF316" s="35" t="s">
        <v>381</v>
      </c>
      <c r="EJ316" s="12"/>
      <c r="EL316" s="15"/>
      <c r="FR316" s="39" t="s">
        <v>394</v>
      </c>
      <c r="FT316" s="39">
        <v>19</v>
      </c>
    </row>
    <row r="317" spans="1:176" s="39" customFormat="1" x14ac:dyDescent="0.25">
      <c r="A317" s="39">
        <v>19</v>
      </c>
      <c r="B317" s="39" t="s">
        <v>376</v>
      </c>
      <c r="C317" s="39" t="s">
        <v>377</v>
      </c>
      <c r="D317" s="39">
        <v>1986</v>
      </c>
      <c r="E317" s="39">
        <v>1983</v>
      </c>
      <c r="F317" s="39" t="s">
        <v>342</v>
      </c>
      <c r="G317" s="39" t="s">
        <v>378</v>
      </c>
      <c r="H317" s="39">
        <v>33.32</v>
      </c>
      <c r="I317" s="39">
        <v>-84.43</v>
      </c>
      <c r="J317" s="39">
        <v>246.5</v>
      </c>
      <c r="P317" s="58">
        <v>3</v>
      </c>
      <c r="Q317" s="58"/>
      <c r="R317" s="58"/>
      <c r="S317" s="58" t="s">
        <v>1566</v>
      </c>
      <c r="T317" s="58" t="s">
        <v>1556</v>
      </c>
      <c r="U317" s="58" t="s">
        <v>1565</v>
      </c>
      <c r="V317" s="58" t="s">
        <v>1905</v>
      </c>
      <c r="Z317" s="39" t="s">
        <v>278</v>
      </c>
      <c r="AD317" s="39" t="s">
        <v>1483</v>
      </c>
      <c r="AE317" s="39" t="s">
        <v>1713</v>
      </c>
      <c r="AF317" s="152" t="s">
        <v>666</v>
      </c>
      <c r="AG317" s="39" t="s">
        <v>258</v>
      </c>
      <c r="AH317" s="154" t="s">
        <v>258</v>
      </c>
      <c r="AL317" s="39" t="s">
        <v>256</v>
      </c>
      <c r="AM317" s="39" t="s">
        <v>256</v>
      </c>
      <c r="AN317" s="39" t="s">
        <v>212</v>
      </c>
      <c r="AO317" s="35" t="s">
        <v>383</v>
      </c>
      <c r="AP317" s="35" t="s">
        <v>383</v>
      </c>
      <c r="AQ317" s="35"/>
      <c r="AR317" s="39" t="s">
        <v>147</v>
      </c>
      <c r="AS317" s="39">
        <v>4</v>
      </c>
      <c r="AT317" s="39">
        <v>4</v>
      </c>
      <c r="AU317" s="39" t="s">
        <v>379</v>
      </c>
      <c r="AW317" s="39">
        <f>4.23*1000</f>
        <v>4230</v>
      </c>
      <c r="AX317" s="39">
        <f>4.23/3.36*10</f>
        <v>12.589285714285715</v>
      </c>
      <c r="AY317" s="63"/>
      <c r="AZ317" s="39" t="s">
        <v>384</v>
      </c>
      <c r="BD317" s="39">
        <f t="shared" si="53"/>
        <v>2870</v>
      </c>
      <c r="BE317" s="39">
        <f>2.77*1000</f>
        <v>2770</v>
      </c>
      <c r="BF317" s="35" t="s">
        <v>381</v>
      </c>
      <c r="EJ317" s="12"/>
      <c r="EL317" s="15"/>
      <c r="FR317" s="39" t="s">
        <v>394</v>
      </c>
      <c r="FT317" s="39">
        <v>19</v>
      </c>
    </row>
    <row r="318" spans="1:176" s="38" customFormat="1" x14ac:dyDescent="0.25">
      <c r="A318" s="38">
        <v>20</v>
      </c>
      <c r="B318" s="38" t="s">
        <v>396</v>
      </c>
      <c r="C318" s="38" t="s">
        <v>397</v>
      </c>
      <c r="D318" s="38">
        <v>2014</v>
      </c>
      <c r="E318" s="38">
        <v>2010</v>
      </c>
      <c r="F318" s="38" t="s">
        <v>398</v>
      </c>
      <c r="G318" s="38" t="s">
        <v>395</v>
      </c>
      <c r="H318" s="38">
        <f t="shared" ref="H318:H331" si="54">42+40/60</f>
        <v>42.666666666666664</v>
      </c>
      <c r="I318" s="38">
        <f t="shared" ref="I318:I331" si="55">-84-28/60</f>
        <v>-84.466666666666669</v>
      </c>
      <c r="J318" s="38">
        <v>268.5</v>
      </c>
      <c r="P318" s="57">
        <v>1</v>
      </c>
      <c r="Q318" s="57" t="s">
        <v>1315</v>
      </c>
      <c r="R318" s="57"/>
      <c r="S318" s="57" t="s">
        <v>1553</v>
      </c>
      <c r="T318" s="57" t="s">
        <v>1553</v>
      </c>
      <c r="U318" s="57" t="s">
        <v>1553</v>
      </c>
      <c r="V318" s="57" t="s">
        <v>1553</v>
      </c>
      <c r="Z318" s="38" t="s">
        <v>210</v>
      </c>
      <c r="AA318" s="38">
        <v>6.6</v>
      </c>
      <c r="AD318" s="38" t="s">
        <v>1484</v>
      </c>
      <c r="AE318" s="38" t="s">
        <v>281</v>
      </c>
      <c r="AF318" s="152" t="s">
        <v>666</v>
      </c>
      <c r="AG318" s="38" t="s">
        <v>258</v>
      </c>
      <c r="AH318" s="154" t="s">
        <v>258</v>
      </c>
      <c r="AL318" s="38" t="s">
        <v>269</v>
      </c>
      <c r="AM318" s="38" t="s">
        <v>269</v>
      </c>
      <c r="AN318" s="38" t="s">
        <v>212</v>
      </c>
      <c r="AO318" s="38">
        <v>0</v>
      </c>
      <c r="AP318" s="38">
        <v>0</v>
      </c>
      <c r="AQ318" s="38" t="s">
        <v>212</v>
      </c>
      <c r="AR318" s="38" t="s">
        <v>192</v>
      </c>
      <c r="AS318" s="38">
        <v>4</v>
      </c>
      <c r="AT318" s="38">
        <v>4</v>
      </c>
      <c r="AU318" s="38" t="s">
        <v>169</v>
      </c>
      <c r="AV318" s="38">
        <v>5422</v>
      </c>
      <c r="AY318" s="64"/>
      <c r="DO318" s="38">
        <v>100</v>
      </c>
      <c r="DP318" s="38">
        <v>11.715999999999999</v>
      </c>
      <c r="DQ318" s="38" t="s">
        <v>399</v>
      </c>
      <c r="EJ318" s="12"/>
      <c r="EL318" s="15"/>
      <c r="FT318" s="38">
        <v>20</v>
      </c>
    </row>
    <row r="319" spans="1:176" s="38" customFormat="1" x14ac:dyDescent="0.25">
      <c r="A319" s="38">
        <v>20</v>
      </c>
      <c r="B319" s="38" t="s">
        <v>396</v>
      </c>
      <c r="C319" s="38" t="s">
        <v>397</v>
      </c>
      <c r="D319" s="38">
        <v>2014</v>
      </c>
      <c r="E319" s="38">
        <v>2010</v>
      </c>
      <c r="F319" s="38" t="s">
        <v>398</v>
      </c>
      <c r="G319" s="38" t="s">
        <v>395</v>
      </c>
      <c r="H319" s="38">
        <f t="shared" si="54"/>
        <v>42.666666666666664</v>
      </c>
      <c r="I319" s="38">
        <f t="shared" si="55"/>
        <v>-84.466666666666669</v>
      </c>
      <c r="J319" s="38">
        <v>268.5</v>
      </c>
      <c r="P319" s="57">
        <v>1</v>
      </c>
      <c r="Q319" s="57" t="s">
        <v>1315</v>
      </c>
      <c r="R319" s="57"/>
      <c r="S319" s="57" t="s">
        <v>1553</v>
      </c>
      <c r="T319" s="57" t="s">
        <v>1553</v>
      </c>
      <c r="U319" s="57" t="s">
        <v>1553</v>
      </c>
      <c r="V319" s="57" t="s">
        <v>1553</v>
      </c>
      <c r="Z319" s="38" t="s">
        <v>210</v>
      </c>
      <c r="AA319" s="38">
        <v>6.6</v>
      </c>
      <c r="AD319" s="38" t="s">
        <v>1484</v>
      </c>
      <c r="AE319" s="38" t="s">
        <v>1731</v>
      </c>
      <c r="AF319" s="152" t="s">
        <v>1762</v>
      </c>
      <c r="AG319" s="38" t="s">
        <v>258</v>
      </c>
      <c r="AH319" s="154" t="s">
        <v>258</v>
      </c>
      <c r="AL319" s="38" t="s">
        <v>269</v>
      </c>
      <c r="AM319" s="38" t="s">
        <v>269</v>
      </c>
      <c r="AN319" s="38" t="s">
        <v>212</v>
      </c>
      <c r="AO319" s="38">
        <v>0</v>
      </c>
      <c r="AP319" s="38">
        <v>0</v>
      </c>
      <c r="AQ319" s="38" t="s">
        <v>212</v>
      </c>
      <c r="AR319" s="38" t="s">
        <v>192</v>
      </c>
      <c r="AS319" s="38">
        <v>4</v>
      </c>
      <c r="AT319" s="38">
        <v>4</v>
      </c>
      <c r="AU319" s="38" t="s">
        <v>169</v>
      </c>
      <c r="AV319" s="38">
        <v>6205</v>
      </c>
      <c r="AY319" s="64"/>
      <c r="DO319" s="38">
        <v>100</v>
      </c>
      <c r="DP319" s="38">
        <v>14.13</v>
      </c>
      <c r="DQ319" s="38" t="s">
        <v>399</v>
      </c>
      <c r="EJ319" s="12"/>
      <c r="EL319" s="15"/>
      <c r="FT319" s="38">
        <v>20</v>
      </c>
    </row>
    <row r="320" spans="1:176" s="38" customFormat="1" x14ac:dyDescent="0.25">
      <c r="A320" s="38">
        <v>20</v>
      </c>
      <c r="B320" s="38" t="s">
        <v>396</v>
      </c>
      <c r="C320" s="38" t="s">
        <v>397</v>
      </c>
      <c r="D320" s="38">
        <v>2014</v>
      </c>
      <c r="E320" s="38">
        <v>2010</v>
      </c>
      <c r="F320" s="38" t="s">
        <v>398</v>
      </c>
      <c r="G320" s="38" t="s">
        <v>395</v>
      </c>
      <c r="H320" s="38">
        <f t="shared" si="54"/>
        <v>42.666666666666664</v>
      </c>
      <c r="I320" s="38">
        <f t="shared" si="55"/>
        <v>-84.466666666666669</v>
      </c>
      <c r="J320" s="38">
        <v>268.5</v>
      </c>
      <c r="P320" s="57">
        <v>1</v>
      </c>
      <c r="Q320" s="57" t="s">
        <v>1315</v>
      </c>
      <c r="R320" s="57"/>
      <c r="S320" s="57" t="s">
        <v>1553</v>
      </c>
      <c r="T320" s="57" t="s">
        <v>1553</v>
      </c>
      <c r="U320" s="57" t="s">
        <v>1553</v>
      </c>
      <c r="V320" s="57" t="s">
        <v>1553</v>
      </c>
      <c r="Z320" s="38" t="s">
        <v>210</v>
      </c>
      <c r="AA320" s="38">
        <v>6.6</v>
      </c>
      <c r="AD320" s="38" t="s">
        <v>1484</v>
      </c>
      <c r="AE320" s="38" t="s">
        <v>1732</v>
      </c>
      <c r="AF320" s="152" t="s">
        <v>1762</v>
      </c>
      <c r="AG320" s="38" t="s">
        <v>258</v>
      </c>
      <c r="AH320" s="154" t="s">
        <v>258</v>
      </c>
      <c r="AL320" s="38" t="s">
        <v>269</v>
      </c>
      <c r="AM320" s="38" t="s">
        <v>269</v>
      </c>
      <c r="AN320" s="38" t="s">
        <v>212</v>
      </c>
      <c r="AO320" s="38">
        <v>0</v>
      </c>
      <c r="AP320" s="38">
        <v>0</v>
      </c>
      <c r="AQ320" s="38" t="s">
        <v>212</v>
      </c>
      <c r="AR320" s="38" t="s">
        <v>192</v>
      </c>
      <c r="AS320" s="38">
        <v>4</v>
      </c>
      <c r="AT320" s="38">
        <v>4</v>
      </c>
      <c r="AU320" s="38" t="s">
        <v>169</v>
      </c>
      <c r="AV320" s="38">
        <v>5939</v>
      </c>
      <c r="AY320" s="64"/>
      <c r="DO320" s="38">
        <v>100</v>
      </c>
      <c r="DP320" s="38">
        <v>9.5299999999999994</v>
      </c>
      <c r="DQ320" s="38" t="s">
        <v>399</v>
      </c>
      <c r="EJ320" s="12"/>
      <c r="EL320" s="15"/>
      <c r="FT320" s="38">
        <v>20</v>
      </c>
    </row>
    <row r="321" spans="1:176" s="38" customFormat="1" x14ac:dyDescent="0.25">
      <c r="A321" s="38">
        <v>20</v>
      </c>
      <c r="B321" s="38" t="s">
        <v>396</v>
      </c>
      <c r="C321" s="38" t="s">
        <v>397</v>
      </c>
      <c r="D321" s="38">
        <v>2014</v>
      </c>
      <c r="E321" s="38">
        <v>2010</v>
      </c>
      <c r="F321" s="38" t="s">
        <v>398</v>
      </c>
      <c r="G321" s="38" t="s">
        <v>395</v>
      </c>
      <c r="H321" s="38">
        <f t="shared" si="54"/>
        <v>42.666666666666664</v>
      </c>
      <c r="I321" s="38">
        <f t="shared" si="55"/>
        <v>-84.466666666666669</v>
      </c>
      <c r="J321" s="38">
        <v>268.5</v>
      </c>
      <c r="P321" s="57">
        <v>1</v>
      </c>
      <c r="Q321" s="57" t="s">
        <v>1315</v>
      </c>
      <c r="R321" s="57"/>
      <c r="S321" s="57" t="s">
        <v>1553</v>
      </c>
      <c r="T321" s="57" t="s">
        <v>1553</v>
      </c>
      <c r="U321" s="57" t="s">
        <v>1553</v>
      </c>
      <c r="V321" s="57" t="s">
        <v>1553</v>
      </c>
      <c r="Z321" s="38" t="s">
        <v>210</v>
      </c>
      <c r="AA321" s="38">
        <v>6.6</v>
      </c>
      <c r="AD321" s="38" t="s">
        <v>1484</v>
      </c>
      <c r="AE321" s="38" t="s">
        <v>1733</v>
      </c>
      <c r="AF321" s="152" t="s">
        <v>1762</v>
      </c>
      <c r="AG321" s="38" t="s">
        <v>258</v>
      </c>
      <c r="AH321" s="154" t="s">
        <v>258</v>
      </c>
      <c r="AL321" s="38" t="s">
        <v>269</v>
      </c>
      <c r="AM321" s="38" t="s">
        <v>269</v>
      </c>
      <c r="AN321" s="38" t="s">
        <v>212</v>
      </c>
      <c r="AO321" s="38">
        <v>0</v>
      </c>
      <c r="AP321" s="38">
        <v>0</v>
      </c>
      <c r="AQ321" s="38" t="s">
        <v>212</v>
      </c>
      <c r="AR321" s="38" t="s">
        <v>192</v>
      </c>
      <c r="AS321" s="38">
        <v>4</v>
      </c>
      <c r="AT321" s="38">
        <v>4</v>
      </c>
      <c r="AU321" s="38" t="s">
        <v>169</v>
      </c>
      <c r="AV321" s="38">
        <v>5064</v>
      </c>
      <c r="AY321" s="64"/>
      <c r="DO321" s="38">
        <v>100</v>
      </c>
      <c r="DP321" s="38">
        <v>7.8</v>
      </c>
      <c r="DQ321" s="38" t="s">
        <v>399</v>
      </c>
      <c r="EJ321" s="12"/>
      <c r="EL321" s="15"/>
      <c r="FT321" s="38">
        <v>20</v>
      </c>
    </row>
    <row r="322" spans="1:176" s="38" customFormat="1" x14ac:dyDescent="0.25">
      <c r="A322" s="38">
        <v>20</v>
      </c>
      <c r="B322" s="38" t="s">
        <v>396</v>
      </c>
      <c r="C322" s="38" t="s">
        <v>397</v>
      </c>
      <c r="D322" s="38">
        <v>2014</v>
      </c>
      <c r="E322" s="38">
        <v>2010</v>
      </c>
      <c r="F322" s="38" t="s">
        <v>398</v>
      </c>
      <c r="G322" s="38" t="s">
        <v>395</v>
      </c>
      <c r="H322" s="38">
        <f t="shared" si="54"/>
        <v>42.666666666666664</v>
      </c>
      <c r="I322" s="38">
        <f t="shared" si="55"/>
        <v>-84.466666666666669</v>
      </c>
      <c r="J322" s="38">
        <v>268.5</v>
      </c>
      <c r="P322" s="57">
        <v>1</v>
      </c>
      <c r="Q322" s="57" t="s">
        <v>1315</v>
      </c>
      <c r="R322" s="57"/>
      <c r="S322" s="57" t="s">
        <v>1553</v>
      </c>
      <c r="T322" s="57" t="s">
        <v>1553</v>
      </c>
      <c r="U322" s="57" t="s">
        <v>1553</v>
      </c>
      <c r="V322" s="57" t="s">
        <v>1553</v>
      </c>
      <c r="Z322" s="38" t="s">
        <v>210</v>
      </c>
      <c r="AA322" s="38">
        <v>6.6</v>
      </c>
      <c r="AD322" s="38" t="s">
        <v>1484</v>
      </c>
      <c r="AE322" s="38" t="s">
        <v>1734</v>
      </c>
      <c r="AF322" s="152" t="s">
        <v>1762</v>
      </c>
      <c r="AG322" s="38" t="s">
        <v>258</v>
      </c>
      <c r="AH322" s="154" t="s">
        <v>258</v>
      </c>
      <c r="AL322" s="38" t="s">
        <v>269</v>
      </c>
      <c r="AM322" s="38" t="s">
        <v>269</v>
      </c>
      <c r="AN322" s="38" t="s">
        <v>212</v>
      </c>
      <c r="AO322" s="38">
        <v>0</v>
      </c>
      <c r="AP322" s="38">
        <v>0</v>
      </c>
      <c r="AQ322" s="38" t="s">
        <v>212</v>
      </c>
      <c r="AR322" s="38" t="s">
        <v>192</v>
      </c>
      <c r="AS322" s="38">
        <v>4</v>
      </c>
      <c r="AT322" s="38">
        <v>4</v>
      </c>
      <c r="AU322" s="38" t="s">
        <v>169</v>
      </c>
      <c r="AV322" s="38">
        <v>5489</v>
      </c>
      <c r="AY322" s="64"/>
      <c r="DO322" s="38">
        <v>100</v>
      </c>
      <c r="DP322" s="38">
        <v>5.41</v>
      </c>
      <c r="DQ322" s="38" t="s">
        <v>399</v>
      </c>
      <c r="EJ322" s="12"/>
      <c r="EL322" s="15"/>
      <c r="FT322" s="38">
        <v>20</v>
      </c>
    </row>
    <row r="323" spans="1:176" s="38" customFormat="1" x14ac:dyDescent="0.25">
      <c r="A323" s="38">
        <v>20</v>
      </c>
      <c r="B323" s="38" t="s">
        <v>396</v>
      </c>
      <c r="C323" s="38" t="s">
        <v>397</v>
      </c>
      <c r="D323" s="38">
        <v>2014</v>
      </c>
      <c r="E323" s="38">
        <v>2010</v>
      </c>
      <c r="F323" s="38" t="s">
        <v>398</v>
      </c>
      <c r="G323" s="38" t="s">
        <v>395</v>
      </c>
      <c r="H323" s="38">
        <f t="shared" si="54"/>
        <v>42.666666666666664</v>
      </c>
      <c r="I323" s="38">
        <f t="shared" si="55"/>
        <v>-84.466666666666669</v>
      </c>
      <c r="J323" s="38">
        <v>268.5</v>
      </c>
      <c r="P323" s="57">
        <v>1</v>
      </c>
      <c r="Q323" s="57" t="s">
        <v>1315</v>
      </c>
      <c r="R323" s="57"/>
      <c r="S323" s="57" t="s">
        <v>1553</v>
      </c>
      <c r="T323" s="57" t="s">
        <v>1553</v>
      </c>
      <c r="U323" s="57" t="s">
        <v>1553</v>
      </c>
      <c r="V323" s="57" t="s">
        <v>1553</v>
      </c>
      <c r="Z323" s="38" t="s">
        <v>210</v>
      </c>
      <c r="AA323" s="38">
        <v>6.6</v>
      </c>
      <c r="AD323" s="38" t="s">
        <v>1484</v>
      </c>
      <c r="AE323" s="38" t="s">
        <v>1735</v>
      </c>
      <c r="AF323" s="152" t="s">
        <v>1762</v>
      </c>
      <c r="AG323" s="38" t="s">
        <v>258</v>
      </c>
      <c r="AH323" s="154" t="s">
        <v>258</v>
      </c>
      <c r="AL323" s="38" t="s">
        <v>269</v>
      </c>
      <c r="AM323" s="38" t="s">
        <v>269</v>
      </c>
      <c r="AN323" s="38" t="s">
        <v>212</v>
      </c>
      <c r="AO323" s="38">
        <v>0</v>
      </c>
      <c r="AP323" s="38">
        <v>0</v>
      </c>
      <c r="AQ323" s="38" t="s">
        <v>212</v>
      </c>
      <c r="AR323" s="38" t="s">
        <v>192</v>
      </c>
      <c r="AS323" s="38">
        <v>4</v>
      </c>
      <c r="AT323" s="38">
        <v>4</v>
      </c>
      <c r="AU323" s="38" t="s">
        <v>169</v>
      </c>
      <c r="AV323" s="38">
        <v>4985</v>
      </c>
      <c r="AY323" s="64"/>
      <c r="DO323" s="38">
        <v>100</v>
      </c>
      <c r="DP323" s="38">
        <v>6.35</v>
      </c>
      <c r="DQ323" s="38" t="s">
        <v>399</v>
      </c>
      <c r="EJ323" s="12"/>
      <c r="EL323" s="15"/>
      <c r="FT323" s="38">
        <v>20</v>
      </c>
    </row>
    <row r="324" spans="1:176" s="38" customFormat="1" x14ac:dyDescent="0.25">
      <c r="A324" s="38">
        <v>20</v>
      </c>
      <c r="B324" s="38" t="s">
        <v>396</v>
      </c>
      <c r="C324" s="38" t="s">
        <v>397</v>
      </c>
      <c r="D324" s="38">
        <v>2014</v>
      </c>
      <c r="E324" s="38">
        <v>2010</v>
      </c>
      <c r="F324" s="38" t="s">
        <v>398</v>
      </c>
      <c r="G324" s="38" t="s">
        <v>395</v>
      </c>
      <c r="H324" s="38">
        <f t="shared" si="54"/>
        <v>42.666666666666664</v>
      </c>
      <c r="I324" s="38">
        <f t="shared" si="55"/>
        <v>-84.466666666666669</v>
      </c>
      <c r="J324" s="38">
        <v>268.5</v>
      </c>
      <c r="P324" s="57">
        <v>1</v>
      </c>
      <c r="Q324" s="57" t="s">
        <v>1315</v>
      </c>
      <c r="R324" s="57"/>
      <c r="S324" s="57" t="s">
        <v>1553</v>
      </c>
      <c r="T324" s="57" t="s">
        <v>1553</v>
      </c>
      <c r="U324" s="57" t="s">
        <v>1553</v>
      </c>
      <c r="V324" s="57" t="s">
        <v>1553</v>
      </c>
      <c r="Z324" s="38" t="s">
        <v>210</v>
      </c>
      <c r="AA324" s="38">
        <v>6.6</v>
      </c>
      <c r="AD324" s="38" t="s">
        <v>1484</v>
      </c>
      <c r="AE324" s="38" t="s">
        <v>159</v>
      </c>
      <c r="AF324" s="152" t="s">
        <v>159</v>
      </c>
      <c r="AG324" s="38" t="s">
        <v>258</v>
      </c>
      <c r="AH324" s="154" t="s">
        <v>258</v>
      </c>
      <c r="AL324" s="38" t="s">
        <v>269</v>
      </c>
      <c r="AM324" s="38" t="s">
        <v>269</v>
      </c>
      <c r="AN324" s="38" t="s">
        <v>212</v>
      </c>
      <c r="AO324" s="38">
        <v>0</v>
      </c>
      <c r="AP324" s="38">
        <v>0</v>
      </c>
      <c r="AQ324" s="38" t="s">
        <v>212</v>
      </c>
      <c r="AR324" s="38" t="s">
        <v>192</v>
      </c>
      <c r="AS324" s="38">
        <v>4</v>
      </c>
      <c r="AT324" s="38">
        <v>4</v>
      </c>
      <c r="AU324" s="38" t="s">
        <v>169</v>
      </c>
      <c r="AV324" s="38">
        <v>4057</v>
      </c>
      <c r="AY324" s="64"/>
      <c r="DO324" s="38">
        <v>100</v>
      </c>
      <c r="DP324" s="38">
        <v>4.8</v>
      </c>
      <c r="DQ324" s="38" t="s">
        <v>399</v>
      </c>
      <c r="EJ324" s="12"/>
      <c r="EL324" s="15"/>
      <c r="FT324" s="38">
        <v>20</v>
      </c>
    </row>
    <row r="325" spans="1:176" s="31" customFormat="1" x14ac:dyDescent="0.25">
      <c r="A325" s="31">
        <v>20</v>
      </c>
      <c r="B325" s="31" t="s">
        <v>396</v>
      </c>
      <c r="C325" s="31" t="s">
        <v>397</v>
      </c>
      <c r="D325" s="31">
        <v>2014</v>
      </c>
      <c r="E325" s="31">
        <v>2011</v>
      </c>
      <c r="F325" s="31" t="s">
        <v>398</v>
      </c>
      <c r="G325" s="31" t="s">
        <v>395</v>
      </c>
      <c r="H325" s="31">
        <f t="shared" si="54"/>
        <v>42.666666666666664</v>
      </c>
      <c r="I325" s="31">
        <f t="shared" si="55"/>
        <v>-84.466666666666669</v>
      </c>
      <c r="J325" s="31">
        <v>268.5</v>
      </c>
      <c r="P325" s="56">
        <v>2</v>
      </c>
      <c r="Q325" s="56" t="s">
        <v>1315</v>
      </c>
      <c r="R325" s="56"/>
      <c r="S325" s="56" t="s">
        <v>1553</v>
      </c>
      <c r="T325" s="56" t="s">
        <v>1553</v>
      </c>
      <c r="U325" s="56" t="s">
        <v>1553</v>
      </c>
      <c r="V325" s="56" t="s">
        <v>1553</v>
      </c>
      <c r="Z325" s="31" t="s">
        <v>210</v>
      </c>
      <c r="AA325" s="31">
        <v>6.6</v>
      </c>
      <c r="AD325" s="31" t="s">
        <v>1484</v>
      </c>
      <c r="AE325" s="31" t="s">
        <v>281</v>
      </c>
      <c r="AF325" s="152" t="s">
        <v>666</v>
      </c>
      <c r="AG325" s="31" t="s">
        <v>258</v>
      </c>
      <c r="AH325" s="154" t="s">
        <v>258</v>
      </c>
      <c r="AL325" s="31" t="s">
        <v>269</v>
      </c>
      <c r="AM325" s="31" t="s">
        <v>269</v>
      </c>
      <c r="AN325" s="31" t="s">
        <v>212</v>
      </c>
      <c r="AO325" s="31">
        <v>0</v>
      </c>
      <c r="AP325" s="31">
        <v>0</v>
      </c>
      <c r="AQ325" s="31" t="s">
        <v>212</v>
      </c>
      <c r="AR325" s="31" t="s">
        <v>192</v>
      </c>
      <c r="AS325" s="31">
        <v>4</v>
      </c>
      <c r="AT325" s="31">
        <v>4</v>
      </c>
      <c r="AU325" s="31" t="s">
        <v>169</v>
      </c>
      <c r="AV325" s="31">
        <v>3023</v>
      </c>
      <c r="AY325" s="64"/>
      <c r="DO325" s="31">
        <v>100</v>
      </c>
      <c r="DP325" s="31">
        <v>37.82</v>
      </c>
      <c r="DQ325" s="31" t="s">
        <v>399</v>
      </c>
      <c r="EJ325" s="12"/>
      <c r="EL325" s="15"/>
      <c r="FT325" s="31">
        <v>20</v>
      </c>
    </row>
    <row r="326" spans="1:176" s="31" customFormat="1" x14ac:dyDescent="0.25">
      <c r="A326" s="31">
        <v>20</v>
      </c>
      <c r="B326" s="31" t="s">
        <v>396</v>
      </c>
      <c r="C326" s="31" t="s">
        <v>397</v>
      </c>
      <c r="D326" s="31">
        <v>2014</v>
      </c>
      <c r="E326" s="31">
        <v>2011</v>
      </c>
      <c r="F326" s="31" t="s">
        <v>398</v>
      </c>
      <c r="G326" s="31" t="s">
        <v>395</v>
      </c>
      <c r="H326" s="31">
        <f t="shared" si="54"/>
        <v>42.666666666666664</v>
      </c>
      <c r="I326" s="31">
        <f t="shared" si="55"/>
        <v>-84.466666666666669</v>
      </c>
      <c r="J326" s="31">
        <v>268.5</v>
      </c>
      <c r="P326" s="56">
        <v>2</v>
      </c>
      <c r="Q326" s="56" t="s">
        <v>1315</v>
      </c>
      <c r="R326" s="56"/>
      <c r="S326" s="56" t="s">
        <v>1553</v>
      </c>
      <c r="T326" s="56" t="s">
        <v>1553</v>
      </c>
      <c r="U326" s="56" t="s">
        <v>1553</v>
      </c>
      <c r="V326" s="56" t="s">
        <v>1553</v>
      </c>
      <c r="Z326" s="31" t="s">
        <v>210</v>
      </c>
      <c r="AA326" s="31">
        <v>6.6</v>
      </c>
      <c r="AD326" s="31" t="s">
        <v>1484</v>
      </c>
      <c r="AE326" s="31" t="s">
        <v>1731</v>
      </c>
      <c r="AF326" s="152" t="s">
        <v>1762</v>
      </c>
      <c r="AG326" s="31" t="s">
        <v>258</v>
      </c>
      <c r="AH326" s="154" t="s">
        <v>258</v>
      </c>
      <c r="AL326" s="31" t="s">
        <v>269</v>
      </c>
      <c r="AM326" s="31" t="s">
        <v>269</v>
      </c>
      <c r="AN326" s="31" t="s">
        <v>212</v>
      </c>
      <c r="AO326" s="31">
        <v>0</v>
      </c>
      <c r="AP326" s="31">
        <v>0</v>
      </c>
      <c r="AQ326" s="31" t="s">
        <v>212</v>
      </c>
      <c r="AR326" s="31" t="s">
        <v>192</v>
      </c>
      <c r="AS326" s="31">
        <v>4</v>
      </c>
      <c r="AT326" s="31">
        <v>4</v>
      </c>
      <c r="AU326" s="31" t="s">
        <v>169</v>
      </c>
      <c r="AV326" s="31">
        <v>4216</v>
      </c>
      <c r="AY326" s="64"/>
      <c r="DO326" s="31">
        <v>100</v>
      </c>
      <c r="DP326" s="31">
        <v>34.700000000000003</v>
      </c>
      <c r="DQ326" s="31" t="s">
        <v>399</v>
      </c>
      <c r="EJ326" s="12"/>
      <c r="EL326" s="15"/>
      <c r="FT326" s="31">
        <v>20</v>
      </c>
    </row>
    <row r="327" spans="1:176" s="31" customFormat="1" x14ac:dyDescent="0.25">
      <c r="A327" s="31">
        <v>20</v>
      </c>
      <c r="B327" s="31" t="s">
        <v>396</v>
      </c>
      <c r="C327" s="31" t="s">
        <v>397</v>
      </c>
      <c r="D327" s="31">
        <v>2014</v>
      </c>
      <c r="E327" s="31">
        <v>2011</v>
      </c>
      <c r="F327" s="31" t="s">
        <v>398</v>
      </c>
      <c r="G327" s="31" t="s">
        <v>395</v>
      </c>
      <c r="H327" s="31">
        <f t="shared" si="54"/>
        <v>42.666666666666664</v>
      </c>
      <c r="I327" s="31">
        <f t="shared" si="55"/>
        <v>-84.466666666666669</v>
      </c>
      <c r="J327" s="31">
        <v>268.5</v>
      </c>
      <c r="P327" s="56">
        <v>2</v>
      </c>
      <c r="Q327" s="56" t="s">
        <v>1315</v>
      </c>
      <c r="R327" s="56"/>
      <c r="S327" s="56" t="s">
        <v>1553</v>
      </c>
      <c r="T327" s="56" t="s">
        <v>1553</v>
      </c>
      <c r="U327" s="56" t="s">
        <v>1553</v>
      </c>
      <c r="V327" s="56" t="s">
        <v>1553</v>
      </c>
      <c r="Z327" s="31" t="s">
        <v>210</v>
      </c>
      <c r="AA327" s="31">
        <v>6.6</v>
      </c>
      <c r="AD327" s="31" t="s">
        <v>1484</v>
      </c>
      <c r="AE327" s="31" t="s">
        <v>1732</v>
      </c>
      <c r="AF327" s="152" t="s">
        <v>1762</v>
      </c>
      <c r="AG327" s="31" t="s">
        <v>258</v>
      </c>
      <c r="AH327" s="154" t="s">
        <v>258</v>
      </c>
      <c r="AL327" s="31" t="s">
        <v>269</v>
      </c>
      <c r="AM327" s="31" t="s">
        <v>269</v>
      </c>
      <c r="AN327" s="31" t="s">
        <v>212</v>
      </c>
      <c r="AO327" s="31">
        <v>0</v>
      </c>
      <c r="AP327" s="31">
        <v>0</v>
      </c>
      <c r="AQ327" s="31" t="s">
        <v>212</v>
      </c>
      <c r="AR327" s="31" t="s">
        <v>192</v>
      </c>
      <c r="AS327" s="31">
        <v>4</v>
      </c>
      <c r="AT327" s="31">
        <v>4</v>
      </c>
      <c r="AU327" s="31" t="s">
        <v>169</v>
      </c>
      <c r="AV327" s="31">
        <v>4375</v>
      </c>
      <c r="AY327" s="64"/>
      <c r="DO327" s="31">
        <v>100</v>
      </c>
      <c r="DP327" s="31">
        <v>30.66</v>
      </c>
      <c r="DQ327" s="31" t="s">
        <v>399</v>
      </c>
      <c r="EJ327" s="12"/>
      <c r="EL327" s="15"/>
      <c r="FT327" s="31">
        <v>20</v>
      </c>
    </row>
    <row r="328" spans="1:176" s="31" customFormat="1" x14ac:dyDescent="0.25">
      <c r="A328" s="31">
        <v>20</v>
      </c>
      <c r="B328" s="31" t="s">
        <v>396</v>
      </c>
      <c r="C328" s="31" t="s">
        <v>397</v>
      </c>
      <c r="D328" s="31">
        <v>2014</v>
      </c>
      <c r="E328" s="31">
        <v>2011</v>
      </c>
      <c r="F328" s="31" t="s">
        <v>398</v>
      </c>
      <c r="G328" s="31" t="s">
        <v>395</v>
      </c>
      <c r="H328" s="31">
        <f t="shared" si="54"/>
        <v>42.666666666666664</v>
      </c>
      <c r="I328" s="31">
        <f t="shared" si="55"/>
        <v>-84.466666666666669</v>
      </c>
      <c r="J328" s="31">
        <v>268.5</v>
      </c>
      <c r="P328" s="56">
        <v>2</v>
      </c>
      <c r="Q328" s="56" t="s">
        <v>1315</v>
      </c>
      <c r="R328" s="56"/>
      <c r="S328" s="56" t="s">
        <v>1553</v>
      </c>
      <c r="T328" s="56" t="s">
        <v>1553</v>
      </c>
      <c r="U328" s="56" t="s">
        <v>1553</v>
      </c>
      <c r="V328" s="56" t="s">
        <v>1553</v>
      </c>
      <c r="Z328" s="31" t="s">
        <v>210</v>
      </c>
      <c r="AA328" s="31">
        <v>6.6</v>
      </c>
      <c r="AD328" s="31" t="s">
        <v>1484</v>
      </c>
      <c r="AE328" s="31" t="s">
        <v>1733</v>
      </c>
      <c r="AF328" s="152" t="s">
        <v>1762</v>
      </c>
      <c r="AG328" s="31" t="s">
        <v>258</v>
      </c>
      <c r="AH328" s="154" t="s">
        <v>258</v>
      </c>
      <c r="AL328" s="31" t="s">
        <v>269</v>
      </c>
      <c r="AM328" s="31" t="s">
        <v>269</v>
      </c>
      <c r="AN328" s="31" t="s">
        <v>212</v>
      </c>
      <c r="AO328" s="31">
        <v>0</v>
      </c>
      <c r="AP328" s="31">
        <v>0</v>
      </c>
      <c r="AQ328" s="31" t="s">
        <v>212</v>
      </c>
      <c r="AR328" s="31" t="s">
        <v>192</v>
      </c>
      <c r="AS328" s="31">
        <v>4</v>
      </c>
      <c r="AT328" s="31">
        <v>4</v>
      </c>
      <c r="AU328" s="31" t="s">
        <v>169</v>
      </c>
      <c r="AV328" s="31">
        <v>3500</v>
      </c>
      <c r="AY328" s="64"/>
      <c r="DO328" s="31">
        <v>100</v>
      </c>
      <c r="DP328" s="31">
        <v>8.5</v>
      </c>
      <c r="DQ328" s="31" t="s">
        <v>399</v>
      </c>
      <c r="EJ328" s="12"/>
      <c r="EL328" s="15"/>
      <c r="FT328" s="31">
        <v>20</v>
      </c>
    </row>
    <row r="329" spans="1:176" s="31" customFormat="1" x14ac:dyDescent="0.25">
      <c r="A329" s="31">
        <v>20</v>
      </c>
      <c r="B329" s="31" t="s">
        <v>396</v>
      </c>
      <c r="C329" s="31" t="s">
        <v>397</v>
      </c>
      <c r="D329" s="31">
        <v>2014</v>
      </c>
      <c r="E329" s="31">
        <v>2011</v>
      </c>
      <c r="F329" s="31" t="s">
        <v>398</v>
      </c>
      <c r="G329" s="31" t="s">
        <v>395</v>
      </c>
      <c r="H329" s="31">
        <f t="shared" si="54"/>
        <v>42.666666666666664</v>
      </c>
      <c r="I329" s="31">
        <f t="shared" si="55"/>
        <v>-84.466666666666669</v>
      </c>
      <c r="J329" s="31">
        <v>268.5</v>
      </c>
      <c r="P329" s="56">
        <v>2</v>
      </c>
      <c r="Q329" s="56" t="s">
        <v>1315</v>
      </c>
      <c r="R329" s="56"/>
      <c r="S329" s="56" t="s">
        <v>1553</v>
      </c>
      <c r="T329" s="56" t="s">
        <v>1553</v>
      </c>
      <c r="U329" s="56" t="s">
        <v>1553</v>
      </c>
      <c r="V329" s="56" t="s">
        <v>1553</v>
      </c>
      <c r="Z329" s="31" t="s">
        <v>210</v>
      </c>
      <c r="AA329" s="31">
        <v>6.6</v>
      </c>
      <c r="AD329" s="31" t="s">
        <v>1484</v>
      </c>
      <c r="AE329" s="31" t="s">
        <v>1734</v>
      </c>
      <c r="AF329" s="152" t="s">
        <v>1762</v>
      </c>
      <c r="AG329" s="31" t="s">
        <v>258</v>
      </c>
      <c r="AH329" s="154" t="s">
        <v>258</v>
      </c>
      <c r="AL329" s="31" t="s">
        <v>269</v>
      </c>
      <c r="AM329" s="31" t="s">
        <v>269</v>
      </c>
      <c r="AN329" s="31" t="s">
        <v>212</v>
      </c>
      <c r="AO329" s="31">
        <v>0</v>
      </c>
      <c r="AP329" s="31">
        <v>0</v>
      </c>
      <c r="AQ329" s="31" t="s">
        <v>212</v>
      </c>
      <c r="AR329" s="31" t="s">
        <v>192</v>
      </c>
      <c r="AS329" s="31">
        <v>4</v>
      </c>
      <c r="AT329" s="31">
        <v>4</v>
      </c>
      <c r="AU329" s="31" t="s">
        <v>169</v>
      </c>
      <c r="AV329" s="31">
        <v>4322</v>
      </c>
      <c r="AY329" s="64"/>
      <c r="DO329" s="31">
        <v>100</v>
      </c>
      <c r="DP329" s="31">
        <v>13.16</v>
      </c>
      <c r="DQ329" s="31" t="s">
        <v>399</v>
      </c>
      <c r="EJ329" s="12"/>
      <c r="EL329" s="15"/>
      <c r="FT329" s="31">
        <v>20</v>
      </c>
    </row>
    <row r="330" spans="1:176" s="31" customFormat="1" x14ac:dyDescent="0.25">
      <c r="A330" s="31">
        <v>20</v>
      </c>
      <c r="B330" s="31" t="s">
        <v>396</v>
      </c>
      <c r="C330" s="31" t="s">
        <v>397</v>
      </c>
      <c r="D330" s="31">
        <v>2014</v>
      </c>
      <c r="E330" s="31">
        <v>2011</v>
      </c>
      <c r="F330" s="31" t="s">
        <v>398</v>
      </c>
      <c r="G330" s="31" t="s">
        <v>395</v>
      </c>
      <c r="H330" s="31">
        <f t="shared" si="54"/>
        <v>42.666666666666664</v>
      </c>
      <c r="I330" s="31">
        <f t="shared" si="55"/>
        <v>-84.466666666666669</v>
      </c>
      <c r="J330" s="31">
        <v>268.5</v>
      </c>
      <c r="P330" s="56">
        <v>2</v>
      </c>
      <c r="Q330" s="56" t="s">
        <v>1315</v>
      </c>
      <c r="R330" s="56"/>
      <c r="S330" s="56" t="s">
        <v>1553</v>
      </c>
      <c r="T330" s="56" t="s">
        <v>1553</v>
      </c>
      <c r="U330" s="56" t="s">
        <v>1553</v>
      </c>
      <c r="V330" s="56" t="s">
        <v>1553</v>
      </c>
      <c r="Z330" s="31" t="s">
        <v>210</v>
      </c>
      <c r="AA330" s="31">
        <v>6.6</v>
      </c>
      <c r="AD330" s="31" t="s">
        <v>1484</v>
      </c>
      <c r="AE330" s="31" t="s">
        <v>1735</v>
      </c>
      <c r="AF330" s="152" t="s">
        <v>1762</v>
      </c>
      <c r="AG330" s="31" t="s">
        <v>258</v>
      </c>
      <c r="AH330" s="154" t="s">
        <v>258</v>
      </c>
      <c r="AL330" s="31" t="s">
        <v>269</v>
      </c>
      <c r="AM330" s="31" t="s">
        <v>269</v>
      </c>
      <c r="AN330" s="31" t="s">
        <v>212</v>
      </c>
      <c r="AO330" s="31">
        <v>0</v>
      </c>
      <c r="AP330" s="31">
        <v>0</v>
      </c>
      <c r="AQ330" s="31" t="s">
        <v>212</v>
      </c>
      <c r="AR330" s="31" t="s">
        <v>192</v>
      </c>
      <c r="AS330" s="31">
        <v>4</v>
      </c>
      <c r="AT330" s="31">
        <v>4</v>
      </c>
      <c r="AU330" s="31" t="s">
        <v>169</v>
      </c>
      <c r="AV330" s="31">
        <v>3606</v>
      </c>
      <c r="AY330" s="64"/>
      <c r="DO330" s="31">
        <v>100</v>
      </c>
      <c r="DP330" s="31">
        <v>8.3800000000000008</v>
      </c>
      <c r="DQ330" s="31" t="s">
        <v>399</v>
      </c>
      <c r="EJ330" s="12"/>
      <c r="EL330" s="15"/>
      <c r="FT330" s="31">
        <v>20</v>
      </c>
    </row>
    <row r="331" spans="1:176" s="31" customFormat="1" x14ac:dyDescent="0.25">
      <c r="A331" s="31">
        <v>20</v>
      </c>
      <c r="B331" s="31" t="s">
        <v>396</v>
      </c>
      <c r="C331" s="31" t="s">
        <v>397</v>
      </c>
      <c r="D331" s="31">
        <v>2014</v>
      </c>
      <c r="E331" s="31">
        <v>2011</v>
      </c>
      <c r="F331" s="31" t="s">
        <v>398</v>
      </c>
      <c r="G331" s="31" t="s">
        <v>395</v>
      </c>
      <c r="H331" s="31">
        <f t="shared" si="54"/>
        <v>42.666666666666664</v>
      </c>
      <c r="I331" s="31">
        <f t="shared" si="55"/>
        <v>-84.466666666666669</v>
      </c>
      <c r="J331" s="31">
        <v>268.5</v>
      </c>
      <c r="P331" s="56">
        <v>2</v>
      </c>
      <c r="Q331" s="56" t="s">
        <v>1315</v>
      </c>
      <c r="R331" s="56"/>
      <c r="S331" s="56" t="s">
        <v>1553</v>
      </c>
      <c r="T331" s="56" t="s">
        <v>1553</v>
      </c>
      <c r="U331" s="56" t="s">
        <v>1553</v>
      </c>
      <c r="V331" s="56" t="s">
        <v>1553</v>
      </c>
      <c r="Z331" s="31" t="s">
        <v>210</v>
      </c>
      <c r="AA331" s="31">
        <v>6.6</v>
      </c>
      <c r="AD331" s="31" t="s">
        <v>1484</v>
      </c>
      <c r="AE331" s="31" t="s">
        <v>159</v>
      </c>
      <c r="AF331" s="152" t="s">
        <v>159</v>
      </c>
      <c r="AG331" s="31" t="s">
        <v>258</v>
      </c>
      <c r="AH331" s="154" t="s">
        <v>258</v>
      </c>
      <c r="AL331" s="31" t="s">
        <v>269</v>
      </c>
      <c r="AM331" s="31" t="s">
        <v>269</v>
      </c>
      <c r="AN331" s="31" t="s">
        <v>212</v>
      </c>
      <c r="AO331" s="31">
        <v>0</v>
      </c>
      <c r="AP331" s="31">
        <v>0</v>
      </c>
      <c r="AQ331" s="31" t="s">
        <v>212</v>
      </c>
      <c r="AR331" s="31" t="s">
        <v>192</v>
      </c>
      <c r="AS331" s="31">
        <v>4</v>
      </c>
      <c r="AT331" s="31">
        <v>4</v>
      </c>
      <c r="AU331" s="31" t="s">
        <v>169</v>
      </c>
      <c r="AV331" s="31">
        <v>3235</v>
      </c>
      <c r="AY331" s="64"/>
      <c r="DO331" s="31">
        <v>100</v>
      </c>
      <c r="DP331" s="31">
        <v>5.72</v>
      </c>
      <c r="DQ331" s="31" t="s">
        <v>399</v>
      </c>
      <c r="EJ331" s="12"/>
      <c r="EL331" s="15"/>
      <c r="FT331" s="31">
        <v>20</v>
      </c>
    </row>
    <row r="332" spans="1:176" s="42" customFormat="1" x14ac:dyDescent="0.25">
      <c r="A332" s="42">
        <v>21</v>
      </c>
      <c r="B332" s="42" t="s">
        <v>400</v>
      </c>
      <c r="C332" s="42" t="s">
        <v>401</v>
      </c>
      <c r="D332" s="42">
        <v>2013</v>
      </c>
      <c r="E332" s="42">
        <v>2009</v>
      </c>
      <c r="F332" s="42" t="s">
        <v>402</v>
      </c>
      <c r="G332" s="42" t="s">
        <v>405</v>
      </c>
      <c r="H332" s="42">
        <v>38.92</v>
      </c>
      <c r="I332" s="42">
        <v>-76.150000000000006</v>
      </c>
      <c r="J332" s="42">
        <v>4.8</v>
      </c>
      <c r="P332" s="59">
        <v>1</v>
      </c>
      <c r="Q332" s="59"/>
      <c r="R332" s="59" t="s">
        <v>409</v>
      </c>
      <c r="S332" s="59" t="s">
        <v>1555</v>
      </c>
      <c r="T332" s="59" t="s">
        <v>1555</v>
      </c>
      <c r="U332" s="59" t="s">
        <v>1555</v>
      </c>
      <c r="V332" s="59" t="s">
        <v>1903</v>
      </c>
      <c r="Z332" s="42" t="s">
        <v>1788</v>
      </c>
      <c r="AE332" s="42" t="s">
        <v>1710</v>
      </c>
      <c r="AF332" s="152" t="s">
        <v>666</v>
      </c>
      <c r="AG332" s="42" t="s">
        <v>416</v>
      </c>
      <c r="AH332" s="154" t="s">
        <v>267</v>
      </c>
      <c r="AO332" s="42" t="s">
        <v>403</v>
      </c>
      <c r="AP332" s="42" t="s">
        <v>403</v>
      </c>
      <c r="AQ332" s="42" t="s">
        <v>212</v>
      </c>
      <c r="AR332" s="42" t="s">
        <v>192</v>
      </c>
      <c r="AS332" s="42">
        <v>4</v>
      </c>
      <c r="AT332" s="42">
        <v>4</v>
      </c>
      <c r="AU332" s="42" t="s">
        <v>169</v>
      </c>
      <c r="AY332" s="63"/>
      <c r="DU332" s="42">
        <v>0.2</v>
      </c>
      <c r="DV332" s="42">
        <v>0.2</v>
      </c>
      <c r="DW332" s="42" t="s">
        <v>408</v>
      </c>
      <c r="EJ332" s="12"/>
      <c r="EL332" s="15"/>
      <c r="FR332" s="42" t="s">
        <v>415</v>
      </c>
      <c r="FS332" s="42" t="s">
        <v>805</v>
      </c>
      <c r="FT332" s="42">
        <v>21</v>
      </c>
    </row>
    <row r="333" spans="1:176" s="42" customFormat="1" x14ac:dyDescent="0.25">
      <c r="A333" s="42">
        <v>21</v>
      </c>
      <c r="B333" s="42" t="s">
        <v>400</v>
      </c>
      <c r="C333" s="42" t="s">
        <v>401</v>
      </c>
      <c r="D333" s="42">
        <v>2013</v>
      </c>
      <c r="E333" s="42">
        <v>2009</v>
      </c>
      <c r="F333" s="42" t="s">
        <v>402</v>
      </c>
      <c r="G333" s="42" t="s">
        <v>405</v>
      </c>
      <c r="H333" s="42">
        <v>38.92</v>
      </c>
      <c r="I333" s="42">
        <v>-76.150000000000006</v>
      </c>
      <c r="J333" s="42">
        <v>4.8</v>
      </c>
      <c r="P333" s="59">
        <v>1</v>
      </c>
      <c r="Q333" s="59"/>
      <c r="R333" s="59" t="s">
        <v>410</v>
      </c>
      <c r="S333" s="59" t="s">
        <v>1555</v>
      </c>
      <c r="T333" s="59" t="s">
        <v>1555</v>
      </c>
      <c r="U333" s="59" t="s">
        <v>1555</v>
      </c>
      <c r="V333" s="59" t="s">
        <v>1903</v>
      </c>
      <c r="Z333" s="42" t="s">
        <v>1788</v>
      </c>
      <c r="AE333" s="42" t="s">
        <v>1710</v>
      </c>
      <c r="AF333" s="152" t="s">
        <v>666</v>
      </c>
      <c r="AG333" s="42" t="s">
        <v>416</v>
      </c>
      <c r="AH333" s="154" t="s">
        <v>267</v>
      </c>
      <c r="AO333" s="42" t="s">
        <v>403</v>
      </c>
      <c r="AP333" s="42" t="s">
        <v>403</v>
      </c>
      <c r="AQ333" s="42" t="s">
        <v>212</v>
      </c>
      <c r="AR333" s="42" t="s">
        <v>192</v>
      </c>
      <c r="AS333" s="42">
        <v>4</v>
      </c>
      <c r="AT333" s="42">
        <v>4</v>
      </c>
      <c r="AU333" s="42" t="s">
        <v>169</v>
      </c>
      <c r="AY333" s="63"/>
      <c r="DU333" s="42">
        <v>1.79</v>
      </c>
      <c r="DV333" s="42">
        <v>2.71</v>
      </c>
      <c r="DW333" s="42" t="s">
        <v>408</v>
      </c>
      <c r="EJ333" s="12"/>
      <c r="EL333" s="15"/>
      <c r="FR333" s="42" t="s">
        <v>415</v>
      </c>
      <c r="FS333" s="42" t="s">
        <v>805</v>
      </c>
      <c r="FT333" s="42">
        <v>21</v>
      </c>
    </row>
    <row r="334" spans="1:176" s="42" customFormat="1" x14ac:dyDescent="0.25">
      <c r="A334" s="42">
        <v>21</v>
      </c>
      <c r="B334" s="42" t="s">
        <v>400</v>
      </c>
      <c r="C334" s="42" t="s">
        <v>401</v>
      </c>
      <c r="D334" s="42">
        <v>2013</v>
      </c>
      <c r="E334" s="42">
        <v>2009</v>
      </c>
      <c r="F334" s="42" t="s">
        <v>402</v>
      </c>
      <c r="G334" s="42" t="s">
        <v>405</v>
      </c>
      <c r="H334" s="42">
        <v>38.92</v>
      </c>
      <c r="I334" s="42">
        <v>-76.150000000000006</v>
      </c>
      <c r="J334" s="42">
        <v>4.8</v>
      </c>
      <c r="P334" s="59">
        <v>1</v>
      </c>
      <c r="Q334" s="59"/>
      <c r="R334" s="59" t="s">
        <v>411</v>
      </c>
      <c r="S334" s="59" t="s">
        <v>1555</v>
      </c>
      <c r="T334" s="59" t="s">
        <v>1555</v>
      </c>
      <c r="U334" s="59" t="s">
        <v>1555</v>
      </c>
      <c r="V334" s="59" t="s">
        <v>1903</v>
      </c>
      <c r="Z334" s="42" t="s">
        <v>1788</v>
      </c>
      <c r="AE334" s="42" t="s">
        <v>1710</v>
      </c>
      <c r="AF334" s="152" t="s">
        <v>666</v>
      </c>
      <c r="AG334" s="42" t="s">
        <v>416</v>
      </c>
      <c r="AH334" s="154" t="s">
        <v>267</v>
      </c>
      <c r="AO334" s="42" t="s">
        <v>403</v>
      </c>
      <c r="AP334" s="42" t="s">
        <v>403</v>
      </c>
      <c r="AQ334" s="42" t="s">
        <v>212</v>
      </c>
      <c r="AR334" s="42" t="s">
        <v>192</v>
      </c>
      <c r="AS334" s="42">
        <v>4</v>
      </c>
      <c r="AT334" s="42">
        <v>4</v>
      </c>
      <c r="AU334" s="42" t="s">
        <v>169</v>
      </c>
      <c r="AY334" s="63"/>
      <c r="DU334" s="42">
        <v>4.59</v>
      </c>
      <c r="DV334" s="42">
        <v>3.62</v>
      </c>
      <c r="DW334" s="42" t="s">
        <v>408</v>
      </c>
      <c r="EJ334" s="12"/>
      <c r="EL334" s="15"/>
      <c r="FR334" s="42" t="s">
        <v>415</v>
      </c>
      <c r="FS334" s="42" t="s">
        <v>805</v>
      </c>
      <c r="FT334" s="42">
        <v>21</v>
      </c>
    </row>
    <row r="335" spans="1:176" s="42" customFormat="1" x14ac:dyDescent="0.25">
      <c r="A335" s="42">
        <v>21</v>
      </c>
      <c r="B335" s="42" t="s">
        <v>400</v>
      </c>
      <c r="C335" s="42" t="s">
        <v>401</v>
      </c>
      <c r="D335" s="42">
        <v>2013</v>
      </c>
      <c r="E335" s="42">
        <v>2009</v>
      </c>
      <c r="F335" s="42" t="s">
        <v>402</v>
      </c>
      <c r="G335" s="42" t="s">
        <v>405</v>
      </c>
      <c r="H335" s="42">
        <v>38.92</v>
      </c>
      <c r="I335" s="42">
        <v>-76.150000000000006</v>
      </c>
      <c r="J335" s="42">
        <v>4.8</v>
      </c>
      <c r="P335" s="59">
        <v>1</v>
      </c>
      <c r="Q335" s="59"/>
      <c r="R335" s="59" t="s">
        <v>412</v>
      </c>
      <c r="S335" s="59" t="s">
        <v>1555</v>
      </c>
      <c r="T335" s="59" t="s">
        <v>1555</v>
      </c>
      <c r="U335" s="59" t="s">
        <v>1555</v>
      </c>
      <c r="V335" s="59" t="s">
        <v>1903</v>
      </c>
      <c r="Z335" s="42" t="s">
        <v>1788</v>
      </c>
      <c r="AE335" s="42" t="s">
        <v>1710</v>
      </c>
      <c r="AF335" s="152" t="s">
        <v>666</v>
      </c>
      <c r="AG335" s="42" t="s">
        <v>416</v>
      </c>
      <c r="AH335" s="154" t="s">
        <v>267</v>
      </c>
      <c r="AO335" s="42" t="s">
        <v>403</v>
      </c>
      <c r="AP335" s="42" t="s">
        <v>403</v>
      </c>
      <c r="AQ335" s="42" t="s">
        <v>212</v>
      </c>
      <c r="AR335" s="42" t="s">
        <v>192</v>
      </c>
      <c r="AS335" s="42">
        <v>4</v>
      </c>
      <c r="AT335" s="42">
        <v>4</v>
      </c>
      <c r="AU335" s="42" t="s">
        <v>169</v>
      </c>
      <c r="AY335" s="63"/>
      <c r="DU335" s="42">
        <v>5.23</v>
      </c>
      <c r="DV335" s="42">
        <v>3.39</v>
      </c>
      <c r="DW335" s="42" t="s">
        <v>408</v>
      </c>
      <c r="EJ335" s="12"/>
      <c r="EL335" s="15"/>
      <c r="FR335" s="42" t="s">
        <v>415</v>
      </c>
      <c r="FS335" s="42" t="s">
        <v>805</v>
      </c>
      <c r="FT335" s="42">
        <v>21</v>
      </c>
    </row>
    <row r="336" spans="1:176" s="42" customFormat="1" x14ac:dyDescent="0.25">
      <c r="A336" s="42">
        <v>21</v>
      </c>
      <c r="B336" s="42" t="s">
        <v>400</v>
      </c>
      <c r="C336" s="42" t="s">
        <v>401</v>
      </c>
      <c r="D336" s="42">
        <v>2013</v>
      </c>
      <c r="E336" s="42">
        <v>2009</v>
      </c>
      <c r="F336" s="42" t="s">
        <v>402</v>
      </c>
      <c r="G336" s="42" t="s">
        <v>405</v>
      </c>
      <c r="H336" s="42">
        <v>38.92</v>
      </c>
      <c r="I336" s="42">
        <v>-76.150000000000006</v>
      </c>
      <c r="J336" s="42">
        <v>4.8</v>
      </c>
      <c r="P336" s="59">
        <v>1</v>
      </c>
      <c r="Q336" s="59"/>
      <c r="R336" s="59" t="s">
        <v>413</v>
      </c>
      <c r="S336" s="59" t="s">
        <v>1555</v>
      </c>
      <c r="T336" s="59" t="s">
        <v>1555</v>
      </c>
      <c r="U336" s="59" t="s">
        <v>1555</v>
      </c>
      <c r="V336" s="59" t="s">
        <v>1903</v>
      </c>
      <c r="Z336" s="42" t="s">
        <v>1788</v>
      </c>
      <c r="AE336" s="42" t="s">
        <v>1710</v>
      </c>
      <c r="AF336" s="152" t="s">
        <v>666</v>
      </c>
      <c r="AG336" s="42" t="s">
        <v>416</v>
      </c>
      <c r="AH336" s="154" t="s">
        <v>267</v>
      </c>
      <c r="AO336" s="42" t="s">
        <v>403</v>
      </c>
      <c r="AP336" s="42" t="s">
        <v>403</v>
      </c>
      <c r="AQ336" s="42" t="s">
        <v>212</v>
      </c>
      <c r="AR336" s="42" t="s">
        <v>192</v>
      </c>
      <c r="AS336" s="42">
        <v>4</v>
      </c>
      <c r="AT336" s="42">
        <v>4</v>
      </c>
      <c r="AU336" s="42" t="s">
        <v>169</v>
      </c>
      <c r="AY336" s="63"/>
      <c r="DU336" s="42">
        <v>1.19</v>
      </c>
      <c r="DV336" s="42">
        <v>0.5</v>
      </c>
      <c r="DW336" s="42" t="s">
        <v>408</v>
      </c>
      <c r="EJ336" s="12"/>
      <c r="EL336" s="15"/>
      <c r="FR336" s="42" t="s">
        <v>415</v>
      </c>
      <c r="FS336" s="42" t="s">
        <v>805</v>
      </c>
      <c r="FT336" s="42">
        <v>21</v>
      </c>
    </row>
    <row r="337" spans="1:176" s="26" customFormat="1" x14ac:dyDescent="0.25">
      <c r="A337" s="26">
        <v>21</v>
      </c>
      <c r="B337" s="26" t="s">
        <v>400</v>
      </c>
      <c r="C337" s="26" t="s">
        <v>401</v>
      </c>
      <c r="D337" s="26">
        <v>2013</v>
      </c>
      <c r="E337" s="26">
        <v>2010</v>
      </c>
      <c r="F337" s="26" t="s">
        <v>402</v>
      </c>
      <c r="G337" s="26" t="s">
        <v>405</v>
      </c>
      <c r="H337" s="26">
        <v>38.92</v>
      </c>
      <c r="I337" s="26">
        <v>-76.150000000000006</v>
      </c>
      <c r="J337" s="26">
        <v>4.8</v>
      </c>
      <c r="P337" s="52">
        <v>2</v>
      </c>
      <c r="Q337" s="52"/>
      <c r="R337" s="52" t="s">
        <v>409</v>
      </c>
      <c r="S337" s="52" t="s">
        <v>1555</v>
      </c>
      <c r="T337" s="52" t="s">
        <v>1555</v>
      </c>
      <c r="U337" s="52" t="s">
        <v>1555</v>
      </c>
      <c r="V337" s="52" t="s">
        <v>1903</v>
      </c>
      <c r="Z337" s="26" t="s">
        <v>1788</v>
      </c>
      <c r="AE337" s="26" t="s">
        <v>1710</v>
      </c>
      <c r="AF337" s="152" t="s">
        <v>666</v>
      </c>
      <c r="AG337" s="26" t="s">
        <v>416</v>
      </c>
      <c r="AH337" s="154" t="s">
        <v>267</v>
      </c>
      <c r="AO337" s="26" t="s">
        <v>403</v>
      </c>
      <c r="AP337" s="26" t="s">
        <v>403</v>
      </c>
      <c r="AQ337" s="26" t="s">
        <v>212</v>
      </c>
      <c r="AR337" s="26" t="s">
        <v>192</v>
      </c>
      <c r="AS337" s="26">
        <v>4</v>
      </c>
      <c r="AT337" s="26">
        <v>4</v>
      </c>
      <c r="AU337" s="26" t="s">
        <v>169</v>
      </c>
      <c r="AY337" s="63"/>
      <c r="DU337" s="26">
        <v>0.01</v>
      </c>
      <c r="DV337" s="26">
        <v>0.01</v>
      </c>
      <c r="DW337" s="26" t="s">
        <v>408</v>
      </c>
      <c r="EJ337" s="12"/>
      <c r="EL337" s="15"/>
      <c r="FR337" s="26" t="s">
        <v>415</v>
      </c>
      <c r="FS337" s="26" t="s">
        <v>805</v>
      </c>
      <c r="FT337" s="26">
        <v>21</v>
      </c>
    </row>
    <row r="338" spans="1:176" s="26" customFormat="1" x14ac:dyDescent="0.25">
      <c r="A338" s="26">
        <v>21</v>
      </c>
      <c r="B338" s="26" t="s">
        <v>400</v>
      </c>
      <c r="C338" s="26" t="s">
        <v>401</v>
      </c>
      <c r="D338" s="26">
        <v>2013</v>
      </c>
      <c r="E338" s="26">
        <v>2010</v>
      </c>
      <c r="F338" s="26" t="s">
        <v>402</v>
      </c>
      <c r="G338" s="26" t="s">
        <v>405</v>
      </c>
      <c r="H338" s="26">
        <v>38.92</v>
      </c>
      <c r="I338" s="26">
        <v>-76.150000000000006</v>
      </c>
      <c r="J338" s="26">
        <v>4.8</v>
      </c>
      <c r="P338" s="52">
        <v>2</v>
      </c>
      <c r="Q338" s="52"/>
      <c r="R338" s="52" t="s">
        <v>410</v>
      </c>
      <c r="S338" s="52" t="s">
        <v>1555</v>
      </c>
      <c r="T338" s="52" t="s">
        <v>1555</v>
      </c>
      <c r="U338" s="52" t="s">
        <v>1555</v>
      </c>
      <c r="V338" s="52" t="s">
        <v>1903</v>
      </c>
      <c r="Z338" s="26" t="s">
        <v>1788</v>
      </c>
      <c r="AE338" s="26" t="s">
        <v>1710</v>
      </c>
      <c r="AF338" s="152" t="s">
        <v>666</v>
      </c>
      <c r="AG338" s="26" t="s">
        <v>416</v>
      </c>
      <c r="AH338" s="154" t="s">
        <v>267</v>
      </c>
      <c r="AO338" s="26" t="s">
        <v>403</v>
      </c>
      <c r="AP338" s="26" t="s">
        <v>403</v>
      </c>
      <c r="AQ338" s="26" t="s">
        <v>212</v>
      </c>
      <c r="AR338" s="26" t="s">
        <v>192</v>
      </c>
      <c r="AS338" s="26">
        <v>4</v>
      </c>
      <c r="AT338" s="26">
        <v>4</v>
      </c>
      <c r="AU338" s="26" t="s">
        <v>169</v>
      </c>
      <c r="AY338" s="63"/>
      <c r="DU338" s="26">
        <v>0.18</v>
      </c>
      <c r="DV338" s="26">
        <v>0.09</v>
      </c>
      <c r="DW338" s="26" t="s">
        <v>408</v>
      </c>
      <c r="EJ338" s="12"/>
      <c r="EL338" s="15"/>
      <c r="FR338" s="26" t="s">
        <v>415</v>
      </c>
      <c r="FS338" s="26" t="s">
        <v>805</v>
      </c>
      <c r="FT338" s="26">
        <v>21</v>
      </c>
    </row>
    <row r="339" spans="1:176" s="26" customFormat="1" x14ac:dyDescent="0.25">
      <c r="A339" s="26">
        <v>21</v>
      </c>
      <c r="B339" s="26" t="s">
        <v>400</v>
      </c>
      <c r="C339" s="26" t="s">
        <v>401</v>
      </c>
      <c r="D339" s="26">
        <v>2013</v>
      </c>
      <c r="E339" s="26">
        <v>2010</v>
      </c>
      <c r="F339" s="26" t="s">
        <v>402</v>
      </c>
      <c r="G339" s="26" t="s">
        <v>405</v>
      </c>
      <c r="H339" s="26">
        <v>38.92</v>
      </c>
      <c r="I339" s="26">
        <v>-76.150000000000006</v>
      </c>
      <c r="J339" s="26">
        <v>4.8</v>
      </c>
      <c r="P339" s="52">
        <v>2</v>
      </c>
      <c r="Q339" s="52"/>
      <c r="R339" s="52" t="s">
        <v>411</v>
      </c>
      <c r="S339" s="52" t="s">
        <v>1555</v>
      </c>
      <c r="T339" s="52" t="s">
        <v>1555</v>
      </c>
      <c r="U339" s="52" t="s">
        <v>1555</v>
      </c>
      <c r="V339" s="52" t="s">
        <v>1903</v>
      </c>
      <c r="Z339" s="26" t="s">
        <v>1788</v>
      </c>
      <c r="AE339" s="26" t="s">
        <v>1710</v>
      </c>
      <c r="AF339" s="152" t="s">
        <v>666</v>
      </c>
      <c r="AG339" s="26" t="s">
        <v>416</v>
      </c>
      <c r="AH339" s="154" t="s">
        <v>267</v>
      </c>
      <c r="AO339" s="26" t="s">
        <v>403</v>
      </c>
      <c r="AP339" s="26" t="s">
        <v>403</v>
      </c>
      <c r="AQ339" s="26" t="s">
        <v>212</v>
      </c>
      <c r="AR339" s="26" t="s">
        <v>192</v>
      </c>
      <c r="AS339" s="26">
        <v>4</v>
      </c>
      <c r="AT339" s="26">
        <v>4</v>
      </c>
      <c r="AU339" s="26" t="s">
        <v>169</v>
      </c>
      <c r="AY339" s="63"/>
      <c r="DU339" s="26">
        <v>1.83</v>
      </c>
      <c r="DV339" s="26">
        <v>1.06</v>
      </c>
      <c r="DW339" s="26" t="s">
        <v>408</v>
      </c>
      <c r="EJ339" s="12"/>
      <c r="EL339" s="15"/>
      <c r="FR339" s="26" t="s">
        <v>415</v>
      </c>
      <c r="FS339" s="26" t="s">
        <v>805</v>
      </c>
      <c r="FT339" s="26">
        <v>21</v>
      </c>
    </row>
    <row r="340" spans="1:176" s="26" customFormat="1" x14ac:dyDescent="0.25">
      <c r="A340" s="26">
        <v>21</v>
      </c>
      <c r="B340" s="26" t="s">
        <v>400</v>
      </c>
      <c r="C340" s="26" t="s">
        <v>401</v>
      </c>
      <c r="D340" s="26">
        <v>2013</v>
      </c>
      <c r="E340" s="26">
        <v>2010</v>
      </c>
      <c r="F340" s="26" t="s">
        <v>402</v>
      </c>
      <c r="G340" s="26" t="s">
        <v>405</v>
      </c>
      <c r="H340" s="26">
        <v>38.92</v>
      </c>
      <c r="I340" s="26">
        <v>-76.150000000000006</v>
      </c>
      <c r="J340" s="26">
        <v>4.8</v>
      </c>
      <c r="P340" s="52">
        <v>2</v>
      </c>
      <c r="Q340" s="52"/>
      <c r="R340" s="52" t="s">
        <v>412</v>
      </c>
      <c r="S340" s="52" t="s">
        <v>1555</v>
      </c>
      <c r="T340" s="52" t="s">
        <v>1555</v>
      </c>
      <c r="U340" s="52" t="s">
        <v>1555</v>
      </c>
      <c r="V340" s="52" t="s">
        <v>1903</v>
      </c>
      <c r="Z340" s="26" t="s">
        <v>1788</v>
      </c>
      <c r="AE340" s="26" t="s">
        <v>1710</v>
      </c>
      <c r="AF340" s="152" t="s">
        <v>666</v>
      </c>
      <c r="AG340" s="26" t="s">
        <v>416</v>
      </c>
      <c r="AH340" s="154" t="s">
        <v>267</v>
      </c>
      <c r="AO340" s="26" t="s">
        <v>403</v>
      </c>
      <c r="AP340" s="26" t="s">
        <v>403</v>
      </c>
      <c r="AQ340" s="26" t="s">
        <v>212</v>
      </c>
      <c r="AR340" s="26" t="s">
        <v>192</v>
      </c>
      <c r="AS340" s="26">
        <v>4</v>
      </c>
      <c r="AT340" s="26">
        <v>4</v>
      </c>
      <c r="AU340" s="26" t="s">
        <v>169</v>
      </c>
      <c r="AY340" s="63"/>
      <c r="DU340" s="26">
        <v>2.71</v>
      </c>
      <c r="DV340" s="26">
        <v>3.39</v>
      </c>
      <c r="DW340" s="26" t="s">
        <v>408</v>
      </c>
      <c r="EJ340" s="12"/>
      <c r="EL340" s="15"/>
      <c r="FR340" s="26" t="s">
        <v>415</v>
      </c>
      <c r="FS340" s="26" t="s">
        <v>805</v>
      </c>
      <c r="FT340" s="26">
        <v>21</v>
      </c>
    </row>
    <row r="341" spans="1:176" s="26" customFormat="1" x14ac:dyDescent="0.25">
      <c r="A341" s="26">
        <v>21</v>
      </c>
      <c r="B341" s="26" t="s">
        <v>400</v>
      </c>
      <c r="C341" s="26" t="s">
        <v>401</v>
      </c>
      <c r="D341" s="26">
        <v>2013</v>
      </c>
      <c r="E341" s="26">
        <v>2010</v>
      </c>
      <c r="F341" s="26" t="s">
        <v>402</v>
      </c>
      <c r="G341" s="26" t="s">
        <v>405</v>
      </c>
      <c r="H341" s="26">
        <v>38.92</v>
      </c>
      <c r="I341" s="26">
        <v>-76.150000000000006</v>
      </c>
      <c r="J341" s="26">
        <v>4.8</v>
      </c>
      <c r="P341" s="52">
        <v>2</v>
      </c>
      <c r="Q341" s="52"/>
      <c r="R341" s="52" t="s">
        <v>413</v>
      </c>
      <c r="S341" s="52" t="s">
        <v>1555</v>
      </c>
      <c r="T341" s="52" t="s">
        <v>1555</v>
      </c>
      <c r="U341" s="52" t="s">
        <v>1555</v>
      </c>
      <c r="V341" s="52" t="s">
        <v>1903</v>
      </c>
      <c r="Z341" s="26" t="s">
        <v>1788</v>
      </c>
      <c r="AE341" s="26" t="s">
        <v>1710</v>
      </c>
      <c r="AF341" s="152" t="s">
        <v>666</v>
      </c>
      <c r="AG341" s="26" t="s">
        <v>416</v>
      </c>
      <c r="AH341" s="154" t="s">
        <v>267</v>
      </c>
      <c r="AO341" s="26" t="s">
        <v>403</v>
      </c>
      <c r="AP341" s="26" t="s">
        <v>403</v>
      </c>
      <c r="AQ341" s="26" t="s">
        <v>212</v>
      </c>
      <c r="AR341" s="26" t="s">
        <v>192</v>
      </c>
      <c r="AS341" s="26">
        <v>4</v>
      </c>
      <c r="AT341" s="26">
        <v>4</v>
      </c>
      <c r="AU341" s="26" t="s">
        <v>169</v>
      </c>
      <c r="AY341" s="63"/>
      <c r="DU341" s="26">
        <v>2.75</v>
      </c>
      <c r="DV341" s="26">
        <v>1.65</v>
      </c>
      <c r="DW341" s="26" t="s">
        <v>408</v>
      </c>
      <c r="EJ341" s="12"/>
      <c r="EL341" s="15"/>
      <c r="FR341" s="26" t="s">
        <v>415</v>
      </c>
      <c r="FS341" s="26" t="s">
        <v>805</v>
      </c>
      <c r="FT341" s="26">
        <v>21</v>
      </c>
    </row>
    <row r="342" spans="1:176" s="26" customFormat="1" x14ac:dyDescent="0.25">
      <c r="A342" s="26">
        <v>21</v>
      </c>
      <c r="B342" s="26" t="s">
        <v>400</v>
      </c>
      <c r="C342" s="26" t="s">
        <v>401</v>
      </c>
      <c r="D342" s="26">
        <v>2013</v>
      </c>
      <c r="E342" s="26">
        <v>2010</v>
      </c>
      <c r="F342" s="26" t="s">
        <v>402</v>
      </c>
      <c r="G342" s="26" t="s">
        <v>405</v>
      </c>
      <c r="H342" s="26">
        <v>38.92</v>
      </c>
      <c r="I342" s="26">
        <v>-76.150000000000006</v>
      </c>
      <c r="J342" s="26">
        <v>4.8</v>
      </c>
      <c r="P342" s="52">
        <v>2</v>
      </c>
      <c r="Q342" s="52"/>
      <c r="R342" s="52" t="s">
        <v>414</v>
      </c>
      <c r="S342" s="52" t="s">
        <v>1555</v>
      </c>
      <c r="T342" s="52" t="s">
        <v>1555</v>
      </c>
      <c r="U342" s="52" t="s">
        <v>1555</v>
      </c>
      <c r="V342" s="52" t="s">
        <v>1903</v>
      </c>
      <c r="Z342" s="26" t="s">
        <v>1788</v>
      </c>
      <c r="AE342" s="26" t="s">
        <v>1710</v>
      </c>
      <c r="AF342" s="152" t="s">
        <v>666</v>
      </c>
      <c r="AG342" s="26" t="s">
        <v>416</v>
      </c>
      <c r="AH342" s="154" t="s">
        <v>267</v>
      </c>
      <c r="AO342" s="26" t="s">
        <v>403</v>
      </c>
      <c r="AP342" s="26" t="s">
        <v>403</v>
      </c>
      <c r="AQ342" s="26" t="s">
        <v>212</v>
      </c>
      <c r="AR342" s="26" t="s">
        <v>192</v>
      </c>
      <c r="AS342" s="26">
        <v>4</v>
      </c>
      <c r="AT342" s="26">
        <v>4</v>
      </c>
      <c r="AU342" s="26" t="s">
        <v>169</v>
      </c>
      <c r="AY342" s="63"/>
      <c r="DU342" s="26">
        <v>1.19</v>
      </c>
      <c r="DV342" s="26">
        <v>0.5</v>
      </c>
      <c r="DW342" s="26" t="s">
        <v>408</v>
      </c>
      <c r="EJ342" s="12"/>
      <c r="EL342" s="15"/>
      <c r="FR342" s="26" t="s">
        <v>415</v>
      </c>
      <c r="FS342" s="26" t="s">
        <v>805</v>
      </c>
      <c r="FT342" s="26">
        <v>21</v>
      </c>
    </row>
    <row r="343" spans="1:176" s="42" customFormat="1" x14ac:dyDescent="0.25">
      <c r="A343" s="42">
        <v>21</v>
      </c>
      <c r="B343" s="42" t="s">
        <v>400</v>
      </c>
      <c r="C343" s="42" t="s">
        <v>401</v>
      </c>
      <c r="D343" s="42">
        <v>2013</v>
      </c>
      <c r="E343" s="42">
        <v>2009</v>
      </c>
      <c r="F343" s="42" t="s">
        <v>402</v>
      </c>
      <c r="G343" s="42" t="s">
        <v>404</v>
      </c>
      <c r="H343" s="42">
        <v>38.82</v>
      </c>
      <c r="I343" s="42">
        <v>-76.75</v>
      </c>
      <c r="J343" s="42">
        <v>5.5</v>
      </c>
      <c r="P343" s="59">
        <v>1</v>
      </c>
      <c r="Q343" s="59"/>
      <c r="R343" s="59" t="s">
        <v>409</v>
      </c>
      <c r="S343" s="59" t="s">
        <v>1555</v>
      </c>
      <c r="T343" s="59" t="s">
        <v>1555</v>
      </c>
      <c r="U343" s="59" t="s">
        <v>1555</v>
      </c>
      <c r="V343" s="59" t="s">
        <v>1903</v>
      </c>
      <c r="Z343" s="42" t="s">
        <v>1788</v>
      </c>
      <c r="AE343" s="42" t="s">
        <v>1710</v>
      </c>
      <c r="AF343" s="152" t="s">
        <v>666</v>
      </c>
      <c r="AG343" s="42" t="s">
        <v>416</v>
      </c>
      <c r="AH343" s="154" t="s">
        <v>267</v>
      </c>
      <c r="AO343" s="42" t="s">
        <v>403</v>
      </c>
      <c r="AP343" s="42" t="s">
        <v>403</v>
      </c>
      <c r="AQ343" s="42" t="s">
        <v>212</v>
      </c>
      <c r="AR343" s="42" t="s">
        <v>192</v>
      </c>
      <c r="AS343" s="42">
        <v>4</v>
      </c>
      <c r="AT343" s="42">
        <v>4</v>
      </c>
      <c r="AU343" s="42" t="s">
        <v>169</v>
      </c>
      <c r="AY343" s="63"/>
      <c r="DU343" s="42">
        <v>0.25</v>
      </c>
      <c r="DV343" s="42">
        <v>0.25</v>
      </c>
      <c r="DW343" s="42" t="s">
        <v>408</v>
      </c>
      <c r="EJ343" s="12"/>
      <c r="EL343" s="15"/>
      <c r="FR343" s="42" t="s">
        <v>415</v>
      </c>
      <c r="FS343" s="42" t="s">
        <v>805</v>
      </c>
      <c r="FT343" s="42">
        <v>21</v>
      </c>
    </row>
    <row r="344" spans="1:176" s="42" customFormat="1" x14ac:dyDescent="0.25">
      <c r="A344" s="42">
        <v>21</v>
      </c>
      <c r="B344" s="42" t="s">
        <v>400</v>
      </c>
      <c r="C344" s="42" t="s">
        <v>401</v>
      </c>
      <c r="D344" s="42">
        <v>2013</v>
      </c>
      <c r="E344" s="42">
        <v>2009</v>
      </c>
      <c r="F344" s="42" t="s">
        <v>402</v>
      </c>
      <c r="G344" s="42" t="s">
        <v>404</v>
      </c>
      <c r="H344" s="42">
        <v>38.82</v>
      </c>
      <c r="I344" s="42">
        <v>-76.75</v>
      </c>
      <c r="J344" s="42">
        <v>5.5</v>
      </c>
      <c r="P344" s="59">
        <v>1</v>
      </c>
      <c r="Q344" s="59"/>
      <c r="R344" s="59" t="s">
        <v>410</v>
      </c>
      <c r="S344" s="59" t="s">
        <v>1555</v>
      </c>
      <c r="T344" s="59" t="s">
        <v>1555</v>
      </c>
      <c r="U344" s="59" t="s">
        <v>1555</v>
      </c>
      <c r="V344" s="59" t="s">
        <v>1903</v>
      </c>
      <c r="Z344" s="42" t="s">
        <v>1788</v>
      </c>
      <c r="AE344" s="42" t="s">
        <v>1710</v>
      </c>
      <c r="AF344" s="152" t="s">
        <v>666</v>
      </c>
      <c r="AG344" s="42" t="s">
        <v>416</v>
      </c>
      <c r="AH344" s="154" t="s">
        <v>267</v>
      </c>
      <c r="AO344" s="42" t="s">
        <v>403</v>
      </c>
      <c r="AP344" s="42" t="s">
        <v>403</v>
      </c>
      <c r="AQ344" s="42" t="s">
        <v>212</v>
      </c>
      <c r="AR344" s="42" t="s">
        <v>192</v>
      </c>
      <c r="AS344" s="42">
        <v>4</v>
      </c>
      <c r="AT344" s="42">
        <v>4</v>
      </c>
      <c r="AU344" s="42" t="s">
        <v>169</v>
      </c>
      <c r="AY344" s="63"/>
      <c r="DU344" s="42">
        <v>0.65</v>
      </c>
      <c r="DV344" s="42">
        <v>0.4</v>
      </c>
      <c r="DW344" s="42" t="s">
        <v>408</v>
      </c>
      <c r="EJ344" s="12"/>
      <c r="EL344" s="15"/>
      <c r="FR344" s="42" t="s">
        <v>415</v>
      </c>
      <c r="FS344" s="42" t="s">
        <v>805</v>
      </c>
      <c r="FT344" s="42">
        <v>21</v>
      </c>
    </row>
    <row r="345" spans="1:176" s="42" customFormat="1" x14ac:dyDescent="0.25">
      <c r="A345" s="42">
        <v>21</v>
      </c>
      <c r="B345" s="42" t="s">
        <v>400</v>
      </c>
      <c r="C345" s="42" t="s">
        <v>401</v>
      </c>
      <c r="D345" s="42">
        <v>2013</v>
      </c>
      <c r="E345" s="42">
        <v>2009</v>
      </c>
      <c r="F345" s="42" t="s">
        <v>402</v>
      </c>
      <c r="G345" s="42" t="s">
        <v>404</v>
      </c>
      <c r="H345" s="42">
        <v>38.82</v>
      </c>
      <c r="I345" s="42">
        <v>-76.75</v>
      </c>
      <c r="J345" s="42">
        <v>5.5</v>
      </c>
      <c r="P345" s="59">
        <v>1</v>
      </c>
      <c r="Q345" s="59"/>
      <c r="R345" s="59" t="s">
        <v>411</v>
      </c>
      <c r="S345" s="59" t="s">
        <v>1555</v>
      </c>
      <c r="T345" s="59" t="s">
        <v>1555</v>
      </c>
      <c r="U345" s="59" t="s">
        <v>1555</v>
      </c>
      <c r="V345" s="59" t="s">
        <v>1903</v>
      </c>
      <c r="Z345" s="42" t="s">
        <v>1788</v>
      </c>
      <c r="AE345" s="42" t="s">
        <v>1710</v>
      </c>
      <c r="AF345" s="152" t="s">
        <v>666</v>
      </c>
      <c r="AG345" s="42" t="s">
        <v>416</v>
      </c>
      <c r="AH345" s="154" t="s">
        <v>267</v>
      </c>
      <c r="AO345" s="42" t="s">
        <v>403</v>
      </c>
      <c r="AP345" s="42" t="s">
        <v>403</v>
      </c>
      <c r="AQ345" s="42" t="s">
        <v>212</v>
      </c>
      <c r="AR345" s="42" t="s">
        <v>192</v>
      </c>
      <c r="AS345" s="42">
        <v>4</v>
      </c>
      <c r="AT345" s="42">
        <v>4</v>
      </c>
      <c r="AU345" s="42" t="s">
        <v>169</v>
      </c>
      <c r="AY345" s="63"/>
      <c r="DU345" s="42">
        <v>4.32</v>
      </c>
      <c r="DV345" s="42">
        <v>4.32</v>
      </c>
      <c r="DW345" s="42" t="s">
        <v>408</v>
      </c>
      <c r="EJ345" s="12"/>
      <c r="EL345" s="15"/>
      <c r="FR345" s="42" t="s">
        <v>415</v>
      </c>
      <c r="FS345" s="42" t="s">
        <v>805</v>
      </c>
      <c r="FT345" s="42">
        <v>21</v>
      </c>
    </row>
    <row r="346" spans="1:176" s="42" customFormat="1" x14ac:dyDescent="0.25">
      <c r="A346" s="42">
        <v>21</v>
      </c>
      <c r="B346" s="42" t="s">
        <v>400</v>
      </c>
      <c r="C346" s="42" t="s">
        <v>401</v>
      </c>
      <c r="D346" s="42">
        <v>2013</v>
      </c>
      <c r="E346" s="42">
        <v>2009</v>
      </c>
      <c r="F346" s="42" t="s">
        <v>402</v>
      </c>
      <c r="G346" s="42" t="s">
        <v>404</v>
      </c>
      <c r="H346" s="42">
        <v>38.82</v>
      </c>
      <c r="I346" s="42">
        <v>-76.75</v>
      </c>
      <c r="J346" s="42">
        <v>5.5</v>
      </c>
      <c r="P346" s="59">
        <v>1</v>
      </c>
      <c r="Q346" s="59"/>
      <c r="R346" s="59" t="s">
        <v>412</v>
      </c>
      <c r="S346" s="59" t="s">
        <v>1555</v>
      </c>
      <c r="T346" s="59" t="s">
        <v>1555</v>
      </c>
      <c r="U346" s="59" t="s">
        <v>1555</v>
      </c>
      <c r="V346" s="59" t="s">
        <v>1903</v>
      </c>
      <c r="Z346" s="42" t="s">
        <v>1788</v>
      </c>
      <c r="AE346" s="42" t="s">
        <v>1710</v>
      </c>
      <c r="AF346" s="152" t="s">
        <v>666</v>
      </c>
      <c r="AG346" s="42" t="s">
        <v>416</v>
      </c>
      <c r="AH346" s="154" t="s">
        <v>267</v>
      </c>
      <c r="AO346" s="42" t="s">
        <v>403</v>
      </c>
      <c r="AP346" s="42" t="s">
        <v>403</v>
      </c>
      <c r="AQ346" s="42" t="s">
        <v>212</v>
      </c>
      <c r="AR346" s="42" t="s">
        <v>192</v>
      </c>
      <c r="AS346" s="42">
        <v>4</v>
      </c>
      <c r="AT346" s="42">
        <v>4</v>
      </c>
      <c r="AU346" s="42" t="s">
        <v>169</v>
      </c>
      <c r="AY346" s="63"/>
      <c r="DU346" s="42">
        <v>5.68</v>
      </c>
      <c r="DV346" s="42">
        <v>2.56</v>
      </c>
      <c r="DW346" s="42" t="s">
        <v>408</v>
      </c>
      <c r="EJ346" s="12"/>
      <c r="EL346" s="15"/>
      <c r="FR346" s="42" t="s">
        <v>415</v>
      </c>
      <c r="FS346" s="42" t="s">
        <v>805</v>
      </c>
      <c r="FT346" s="42">
        <v>21</v>
      </c>
    </row>
    <row r="347" spans="1:176" s="42" customFormat="1" x14ac:dyDescent="0.25">
      <c r="A347" s="42">
        <v>21</v>
      </c>
      <c r="B347" s="42" t="s">
        <v>400</v>
      </c>
      <c r="C347" s="42" t="s">
        <v>401</v>
      </c>
      <c r="D347" s="42">
        <v>2013</v>
      </c>
      <c r="E347" s="42">
        <v>2009</v>
      </c>
      <c r="F347" s="42" t="s">
        <v>402</v>
      </c>
      <c r="G347" s="42" t="s">
        <v>404</v>
      </c>
      <c r="H347" s="42">
        <v>38.82</v>
      </c>
      <c r="I347" s="42">
        <v>-76.75</v>
      </c>
      <c r="J347" s="42">
        <v>5.5</v>
      </c>
      <c r="P347" s="59">
        <v>1</v>
      </c>
      <c r="Q347" s="59"/>
      <c r="R347" s="59" t="s">
        <v>413</v>
      </c>
      <c r="S347" s="59" t="s">
        <v>1555</v>
      </c>
      <c r="T347" s="59" t="s">
        <v>1555</v>
      </c>
      <c r="U347" s="59" t="s">
        <v>1555</v>
      </c>
      <c r="V347" s="59" t="s">
        <v>1903</v>
      </c>
      <c r="Z347" s="42" t="s">
        <v>1788</v>
      </c>
      <c r="AE347" s="42" t="s">
        <v>1710</v>
      </c>
      <c r="AF347" s="152" t="s">
        <v>666</v>
      </c>
      <c r="AG347" s="42" t="s">
        <v>416</v>
      </c>
      <c r="AH347" s="154" t="s">
        <v>267</v>
      </c>
      <c r="AO347" s="42" t="s">
        <v>403</v>
      </c>
      <c r="AP347" s="42" t="s">
        <v>403</v>
      </c>
      <c r="AQ347" s="42" t="s">
        <v>212</v>
      </c>
      <c r="AR347" s="42" t="s">
        <v>192</v>
      </c>
      <c r="AS347" s="42">
        <v>4</v>
      </c>
      <c r="AT347" s="42">
        <v>4</v>
      </c>
      <c r="AU347" s="42" t="s">
        <v>169</v>
      </c>
      <c r="AY347" s="63"/>
      <c r="DU347" s="42">
        <v>3.47</v>
      </c>
      <c r="DV347" s="42">
        <v>0.8</v>
      </c>
      <c r="DW347" s="42" t="s">
        <v>408</v>
      </c>
      <c r="EJ347" s="12"/>
      <c r="EL347" s="15"/>
      <c r="FR347" s="42" t="s">
        <v>415</v>
      </c>
      <c r="FS347" s="42" t="s">
        <v>805</v>
      </c>
      <c r="FT347" s="42">
        <v>21</v>
      </c>
    </row>
    <row r="348" spans="1:176" s="26" customFormat="1" x14ac:dyDescent="0.25">
      <c r="A348" s="26">
        <v>21</v>
      </c>
      <c r="B348" s="26" t="s">
        <v>400</v>
      </c>
      <c r="C348" s="26" t="s">
        <v>401</v>
      </c>
      <c r="D348" s="26">
        <v>2013</v>
      </c>
      <c r="E348" s="26">
        <v>2010</v>
      </c>
      <c r="F348" s="26" t="s">
        <v>402</v>
      </c>
      <c r="G348" s="26" t="s">
        <v>404</v>
      </c>
      <c r="H348" s="26">
        <v>38.82</v>
      </c>
      <c r="I348" s="26">
        <v>-76.75</v>
      </c>
      <c r="J348" s="26">
        <v>5.5</v>
      </c>
      <c r="P348" s="52">
        <v>2</v>
      </c>
      <c r="Q348" s="52"/>
      <c r="R348" s="52" t="s">
        <v>409</v>
      </c>
      <c r="S348" s="52" t="s">
        <v>1555</v>
      </c>
      <c r="T348" s="52" t="s">
        <v>1555</v>
      </c>
      <c r="U348" s="52" t="s">
        <v>1555</v>
      </c>
      <c r="V348" s="52" t="s">
        <v>1903</v>
      </c>
      <c r="Z348" s="26" t="s">
        <v>1788</v>
      </c>
      <c r="AE348" s="26" t="s">
        <v>1710</v>
      </c>
      <c r="AF348" s="152" t="s">
        <v>666</v>
      </c>
      <c r="AG348" s="26" t="s">
        <v>416</v>
      </c>
      <c r="AH348" s="154" t="s">
        <v>267</v>
      </c>
      <c r="AO348" s="26" t="s">
        <v>403</v>
      </c>
      <c r="AP348" s="26" t="s">
        <v>403</v>
      </c>
      <c r="AQ348" s="26" t="s">
        <v>212</v>
      </c>
      <c r="AR348" s="26" t="s">
        <v>192</v>
      </c>
      <c r="AS348" s="26">
        <v>4</v>
      </c>
      <c r="AT348" s="26">
        <v>4</v>
      </c>
      <c r="AU348" s="26" t="s">
        <v>169</v>
      </c>
      <c r="AY348" s="63"/>
      <c r="DU348" s="26">
        <v>0.01</v>
      </c>
      <c r="DV348" s="26">
        <v>0.01</v>
      </c>
      <c r="DW348" s="26" t="s">
        <v>408</v>
      </c>
      <c r="EJ348" s="12"/>
      <c r="EL348" s="15"/>
      <c r="FR348" s="26" t="s">
        <v>415</v>
      </c>
      <c r="FS348" s="26" t="s">
        <v>805</v>
      </c>
      <c r="FT348" s="26">
        <v>21</v>
      </c>
    </row>
    <row r="349" spans="1:176" s="26" customFormat="1" x14ac:dyDescent="0.25">
      <c r="A349" s="26">
        <v>21</v>
      </c>
      <c r="B349" s="26" t="s">
        <v>400</v>
      </c>
      <c r="C349" s="26" t="s">
        <v>401</v>
      </c>
      <c r="D349" s="26">
        <v>2013</v>
      </c>
      <c r="E349" s="26">
        <v>2010</v>
      </c>
      <c r="F349" s="26" t="s">
        <v>402</v>
      </c>
      <c r="G349" s="26" t="s">
        <v>404</v>
      </c>
      <c r="H349" s="26">
        <v>38.82</v>
      </c>
      <c r="I349" s="26">
        <v>-76.75</v>
      </c>
      <c r="J349" s="26">
        <v>5.5</v>
      </c>
      <c r="P349" s="52">
        <v>2</v>
      </c>
      <c r="Q349" s="52"/>
      <c r="R349" s="52" t="s">
        <v>410</v>
      </c>
      <c r="S349" s="52" t="s">
        <v>1555</v>
      </c>
      <c r="T349" s="52" t="s">
        <v>1555</v>
      </c>
      <c r="U349" s="52" t="s">
        <v>1555</v>
      </c>
      <c r="V349" s="52" t="s">
        <v>1903</v>
      </c>
      <c r="Z349" s="26" t="s">
        <v>1788</v>
      </c>
      <c r="AE349" s="26" t="s">
        <v>1710</v>
      </c>
      <c r="AF349" s="152" t="s">
        <v>666</v>
      </c>
      <c r="AG349" s="26" t="s">
        <v>416</v>
      </c>
      <c r="AH349" s="154" t="s">
        <v>267</v>
      </c>
      <c r="AO349" s="26" t="s">
        <v>403</v>
      </c>
      <c r="AP349" s="26" t="s">
        <v>403</v>
      </c>
      <c r="AQ349" s="26" t="s">
        <v>212</v>
      </c>
      <c r="AR349" s="26" t="s">
        <v>192</v>
      </c>
      <c r="AS349" s="26">
        <v>4</v>
      </c>
      <c r="AT349" s="26">
        <v>4</v>
      </c>
      <c r="AU349" s="26" t="s">
        <v>169</v>
      </c>
      <c r="AY349" s="63"/>
      <c r="DU349" s="26">
        <v>0.14000000000000001</v>
      </c>
      <c r="DV349" s="26">
        <v>0.09</v>
      </c>
      <c r="DW349" s="26" t="s">
        <v>408</v>
      </c>
      <c r="EJ349" s="12"/>
      <c r="EL349" s="15"/>
      <c r="FR349" s="26" t="s">
        <v>415</v>
      </c>
      <c r="FS349" s="26" t="s">
        <v>805</v>
      </c>
      <c r="FT349" s="26">
        <v>21</v>
      </c>
    </row>
    <row r="350" spans="1:176" s="26" customFormat="1" x14ac:dyDescent="0.25">
      <c r="A350" s="26">
        <v>21</v>
      </c>
      <c r="B350" s="26" t="s">
        <v>400</v>
      </c>
      <c r="C350" s="26" t="s">
        <v>401</v>
      </c>
      <c r="D350" s="26">
        <v>2013</v>
      </c>
      <c r="E350" s="26">
        <v>2010</v>
      </c>
      <c r="F350" s="26" t="s">
        <v>402</v>
      </c>
      <c r="G350" s="26" t="s">
        <v>404</v>
      </c>
      <c r="H350" s="26">
        <v>38.82</v>
      </c>
      <c r="I350" s="26">
        <v>-76.75</v>
      </c>
      <c r="J350" s="26">
        <v>5.5</v>
      </c>
      <c r="P350" s="52">
        <v>2</v>
      </c>
      <c r="Q350" s="52"/>
      <c r="R350" s="52" t="s">
        <v>411</v>
      </c>
      <c r="S350" s="52" t="s">
        <v>1555</v>
      </c>
      <c r="T350" s="52" t="s">
        <v>1555</v>
      </c>
      <c r="U350" s="52" t="s">
        <v>1555</v>
      </c>
      <c r="V350" s="52" t="s">
        <v>1903</v>
      </c>
      <c r="Z350" s="26" t="s">
        <v>1788</v>
      </c>
      <c r="AE350" s="26" t="s">
        <v>1710</v>
      </c>
      <c r="AF350" s="152" t="s">
        <v>666</v>
      </c>
      <c r="AG350" s="26" t="s">
        <v>416</v>
      </c>
      <c r="AH350" s="154" t="s">
        <v>267</v>
      </c>
      <c r="AO350" s="26" t="s">
        <v>403</v>
      </c>
      <c r="AP350" s="26" t="s">
        <v>403</v>
      </c>
      <c r="AQ350" s="26" t="s">
        <v>212</v>
      </c>
      <c r="AR350" s="26" t="s">
        <v>192</v>
      </c>
      <c r="AS350" s="26">
        <v>4</v>
      </c>
      <c r="AT350" s="26">
        <v>4</v>
      </c>
      <c r="AU350" s="26" t="s">
        <v>169</v>
      </c>
      <c r="AY350" s="63"/>
      <c r="DU350" s="26">
        <v>4.29</v>
      </c>
      <c r="DV350" s="26">
        <v>1.37</v>
      </c>
      <c r="DW350" s="26" t="s">
        <v>408</v>
      </c>
      <c r="EJ350" s="12"/>
      <c r="EL350" s="15"/>
      <c r="FR350" s="26" t="s">
        <v>415</v>
      </c>
      <c r="FS350" s="26" t="s">
        <v>805</v>
      </c>
      <c r="FT350" s="26">
        <v>21</v>
      </c>
    </row>
    <row r="351" spans="1:176" s="26" customFormat="1" x14ac:dyDescent="0.25">
      <c r="A351" s="26">
        <v>21</v>
      </c>
      <c r="B351" s="26" t="s">
        <v>400</v>
      </c>
      <c r="C351" s="26" t="s">
        <v>401</v>
      </c>
      <c r="D351" s="26">
        <v>2013</v>
      </c>
      <c r="E351" s="26">
        <v>2010</v>
      </c>
      <c r="F351" s="26" t="s">
        <v>402</v>
      </c>
      <c r="G351" s="26" t="s">
        <v>404</v>
      </c>
      <c r="H351" s="26">
        <v>38.82</v>
      </c>
      <c r="I351" s="26">
        <v>-76.75</v>
      </c>
      <c r="J351" s="26">
        <v>5.5</v>
      </c>
      <c r="P351" s="52">
        <v>2</v>
      </c>
      <c r="Q351" s="52"/>
      <c r="R351" s="52" t="s">
        <v>412</v>
      </c>
      <c r="S351" s="52" t="s">
        <v>1555</v>
      </c>
      <c r="T351" s="52" t="s">
        <v>1555</v>
      </c>
      <c r="U351" s="52" t="s">
        <v>1555</v>
      </c>
      <c r="V351" s="52" t="s">
        <v>1903</v>
      </c>
      <c r="Z351" s="26" t="s">
        <v>1788</v>
      </c>
      <c r="AE351" s="26" t="s">
        <v>1710</v>
      </c>
      <c r="AF351" s="152" t="s">
        <v>666</v>
      </c>
      <c r="AG351" s="26" t="s">
        <v>416</v>
      </c>
      <c r="AH351" s="154" t="s">
        <v>267</v>
      </c>
      <c r="AO351" s="26" t="s">
        <v>403</v>
      </c>
      <c r="AP351" s="26" t="s">
        <v>403</v>
      </c>
      <c r="AQ351" s="26" t="s">
        <v>212</v>
      </c>
      <c r="AR351" s="26" t="s">
        <v>192</v>
      </c>
      <c r="AS351" s="26">
        <v>4</v>
      </c>
      <c r="AT351" s="26">
        <v>4</v>
      </c>
      <c r="AU351" s="26" t="s">
        <v>169</v>
      </c>
      <c r="AY351" s="63"/>
      <c r="DU351" s="26">
        <v>1.28</v>
      </c>
      <c r="DV351" s="26">
        <v>0.27</v>
      </c>
      <c r="DW351" s="26" t="s">
        <v>408</v>
      </c>
      <c r="EJ351" s="12"/>
      <c r="EL351" s="15"/>
      <c r="FR351" s="26" t="s">
        <v>415</v>
      </c>
      <c r="FS351" s="26" t="s">
        <v>805</v>
      </c>
      <c r="FT351" s="26">
        <v>21</v>
      </c>
    </row>
    <row r="352" spans="1:176" s="26" customFormat="1" x14ac:dyDescent="0.25">
      <c r="A352" s="26">
        <v>21</v>
      </c>
      <c r="B352" s="26" t="s">
        <v>400</v>
      </c>
      <c r="C352" s="26" t="s">
        <v>401</v>
      </c>
      <c r="D352" s="26">
        <v>2013</v>
      </c>
      <c r="E352" s="26">
        <v>2010</v>
      </c>
      <c r="F352" s="26" t="s">
        <v>402</v>
      </c>
      <c r="G352" s="26" t="s">
        <v>404</v>
      </c>
      <c r="H352" s="26">
        <v>38.82</v>
      </c>
      <c r="I352" s="26">
        <v>-76.75</v>
      </c>
      <c r="J352" s="26">
        <v>5.5</v>
      </c>
      <c r="P352" s="52">
        <v>2</v>
      </c>
      <c r="Q352" s="52"/>
      <c r="R352" s="52" t="s">
        <v>413</v>
      </c>
      <c r="S352" s="52" t="s">
        <v>1555</v>
      </c>
      <c r="T352" s="52" t="s">
        <v>1555</v>
      </c>
      <c r="U352" s="52" t="s">
        <v>1555</v>
      </c>
      <c r="V352" s="52" t="s">
        <v>1903</v>
      </c>
      <c r="Z352" s="26" t="s">
        <v>1788</v>
      </c>
      <c r="AE352" s="26" t="s">
        <v>1710</v>
      </c>
      <c r="AF352" s="152" t="s">
        <v>666</v>
      </c>
      <c r="AG352" s="26" t="s">
        <v>416</v>
      </c>
      <c r="AH352" s="154" t="s">
        <v>267</v>
      </c>
      <c r="AO352" s="26" t="s">
        <v>403</v>
      </c>
      <c r="AP352" s="26" t="s">
        <v>403</v>
      </c>
      <c r="AQ352" s="26" t="s">
        <v>212</v>
      </c>
      <c r="AR352" s="26" t="s">
        <v>192</v>
      </c>
      <c r="AS352" s="26">
        <v>4</v>
      </c>
      <c r="AT352" s="26">
        <v>4</v>
      </c>
      <c r="AU352" s="26" t="s">
        <v>169</v>
      </c>
      <c r="AY352" s="63"/>
      <c r="DU352" s="26">
        <v>2.19</v>
      </c>
      <c r="DV352" s="26">
        <v>1.23</v>
      </c>
      <c r="DW352" s="26" t="s">
        <v>408</v>
      </c>
      <c r="EJ352" s="12"/>
      <c r="EL352" s="15"/>
      <c r="FR352" s="26" t="s">
        <v>415</v>
      </c>
      <c r="FS352" s="26" t="s">
        <v>805</v>
      </c>
      <c r="FT352" s="26">
        <v>21</v>
      </c>
    </row>
    <row r="353" spans="1:176" s="26" customFormat="1" x14ac:dyDescent="0.25">
      <c r="A353" s="26">
        <v>21</v>
      </c>
      <c r="B353" s="26" t="s">
        <v>400</v>
      </c>
      <c r="C353" s="26" t="s">
        <v>401</v>
      </c>
      <c r="D353" s="26">
        <v>2013</v>
      </c>
      <c r="E353" s="26">
        <v>2010</v>
      </c>
      <c r="F353" s="26" t="s">
        <v>402</v>
      </c>
      <c r="G353" s="26" t="s">
        <v>404</v>
      </c>
      <c r="H353" s="26">
        <v>38.82</v>
      </c>
      <c r="I353" s="26">
        <v>-76.75</v>
      </c>
      <c r="J353" s="26">
        <v>5.5</v>
      </c>
      <c r="P353" s="52">
        <v>2</v>
      </c>
      <c r="Q353" s="52"/>
      <c r="R353" s="52" t="s">
        <v>414</v>
      </c>
      <c r="S353" s="52" t="s">
        <v>1555</v>
      </c>
      <c r="T353" s="52" t="s">
        <v>1555</v>
      </c>
      <c r="U353" s="52" t="s">
        <v>1555</v>
      </c>
      <c r="V353" s="52" t="s">
        <v>1903</v>
      </c>
      <c r="Z353" s="26" t="s">
        <v>1788</v>
      </c>
      <c r="AE353" s="26" t="s">
        <v>1710</v>
      </c>
      <c r="AF353" s="152" t="s">
        <v>666</v>
      </c>
      <c r="AG353" s="26" t="s">
        <v>416</v>
      </c>
      <c r="AH353" s="154" t="s">
        <v>267</v>
      </c>
      <c r="AO353" s="26" t="s">
        <v>403</v>
      </c>
      <c r="AP353" s="26" t="s">
        <v>403</v>
      </c>
      <c r="AQ353" s="26" t="s">
        <v>212</v>
      </c>
      <c r="AR353" s="26" t="s">
        <v>192</v>
      </c>
      <c r="AS353" s="26">
        <v>4</v>
      </c>
      <c r="AT353" s="26">
        <v>4</v>
      </c>
      <c r="AU353" s="26" t="s">
        <v>169</v>
      </c>
      <c r="AY353" s="63"/>
      <c r="DU353" s="26">
        <v>0.96</v>
      </c>
      <c r="DV353" s="26">
        <v>0.09</v>
      </c>
      <c r="DW353" s="26" t="s">
        <v>408</v>
      </c>
      <c r="EJ353" s="12"/>
      <c r="EL353" s="15"/>
      <c r="FR353" s="26" t="s">
        <v>415</v>
      </c>
      <c r="FS353" s="26" t="s">
        <v>805</v>
      </c>
      <c r="FT353" s="26">
        <v>21</v>
      </c>
    </row>
    <row r="354" spans="1:176" s="42" customFormat="1" x14ac:dyDescent="0.25">
      <c r="A354" s="42">
        <v>21</v>
      </c>
      <c r="B354" s="42" t="s">
        <v>400</v>
      </c>
      <c r="C354" s="42" t="s">
        <v>401</v>
      </c>
      <c r="D354" s="42">
        <v>2013</v>
      </c>
      <c r="E354" s="42">
        <v>2011</v>
      </c>
      <c r="F354" s="42" t="s">
        <v>402</v>
      </c>
      <c r="G354" s="42" t="s">
        <v>404</v>
      </c>
      <c r="H354" s="42">
        <v>38.82</v>
      </c>
      <c r="I354" s="42">
        <v>-76.75</v>
      </c>
      <c r="J354" s="42">
        <v>5.5</v>
      </c>
      <c r="P354" s="59">
        <v>3</v>
      </c>
      <c r="Q354" s="59"/>
      <c r="R354" s="59" t="s">
        <v>409</v>
      </c>
      <c r="S354" s="59" t="s">
        <v>1555</v>
      </c>
      <c r="T354" s="59" t="s">
        <v>1555</v>
      </c>
      <c r="U354" s="59" t="s">
        <v>1555</v>
      </c>
      <c r="V354" s="59" t="s">
        <v>1903</v>
      </c>
      <c r="Z354" s="42" t="s">
        <v>1788</v>
      </c>
      <c r="AE354" s="42" t="s">
        <v>1710</v>
      </c>
      <c r="AF354" s="152" t="s">
        <v>666</v>
      </c>
      <c r="AG354" s="42" t="s">
        <v>416</v>
      </c>
      <c r="AH354" s="154" t="s">
        <v>267</v>
      </c>
      <c r="AO354" s="42" t="s">
        <v>403</v>
      </c>
      <c r="AP354" s="42" t="s">
        <v>403</v>
      </c>
      <c r="AQ354" s="42" t="s">
        <v>212</v>
      </c>
      <c r="AR354" s="42" t="s">
        <v>192</v>
      </c>
      <c r="AS354" s="42">
        <v>4</v>
      </c>
      <c r="AT354" s="42">
        <v>4</v>
      </c>
      <c r="AU354" s="42" t="s">
        <v>169</v>
      </c>
      <c r="AY354" s="63"/>
      <c r="DU354" s="42">
        <v>0.05</v>
      </c>
      <c r="DV354" s="42">
        <v>0.05</v>
      </c>
      <c r="DW354" s="42" t="s">
        <v>408</v>
      </c>
      <c r="EJ354" s="12"/>
      <c r="EL354" s="15"/>
      <c r="FR354" s="42" t="s">
        <v>415</v>
      </c>
      <c r="FS354" s="42" t="s">
        <v>805</v>
      </c>
      <c r="FT354" s="42">
        <v>21</v>
      </c>
    </row>
    <row r="355" spans="1:176" s="42" customFormat="1" x14ac:dyDescent="0.25">
      <c r="A355" s="42">
        <v>21</v>
      </c>
      <c r="B355" s="42" t="s">
        <v>400</v>
      </c>
      <c r="C355" s="42" t="s">
        <v>401</v>
      </c>
      <c r="D355" s="42">
        <v>2013</v>
      </c>
      <c r="E355" s="42">
        <v>2011</v>
      </c>
      <c r="F355" s="42" t="s">
        <v>402</v>
      </c>
      <c r="G355" s="42" t="s">
        <v>404</v>
      </c>
      <c r="H355" s="42">
        <v>38.82</v>
      </c>
      <c r="I355" s="42">
        <v>-76.75</v>
      </c>
      <c r="J355" s="42">
        <v>5.5</v>
      </c>
      <c r="P355" s="59">
        <v>3</v>
      </c>
      <c r="Q355" s="59"/>
      <c r="R355" s="59" t="s">
        <v>410</v>
      </c>
      <c r="S355" s="59" t="s">
        <v>1555</v>
      </c>
      <c r="T355" s="59" t="s">
        <v>1555</v>
      </c>
      <c r="U355" s="59" t="s">
        <v>1555</v>
      </c>
      <c r="V355" s="59" t="s">
        <v>1903</v>
      </c>
      <c r="Z355" s="42" t="s">
        <v>1788</v>
      </c>
      <c r="AE355" s="42" t="s">
        <v>1710</v>
      </c>
      <c r="AF355" s="152" t="s">
        <v>666</v>
      </c>
      <c r="AG355" s="42" t="s">
        <v>416</v>
      </c>
      <c r="AH355" s="154" t="s">
        <v>267</v>
      </c>
      <c r="AO355" s="42" t="s">
        <v>403</v>
      </c>
      <c r="AP355" s="42" t="s">
        <v>403</v>
      </c>
      <c r="AQ355" s="42" t="s">
        <v>212</v>
      </c>
      <c r="AR355" s="42" t="s">
        <v>192</v>
      </c>
      <c r="AS355" s="42">
        <v>4</v>
      </c>
      <c r="AT355" s="42">
        <v>4</v>
      </c>
      <c r="AU355" s="42" t="s">
        <v>169</v>
      </c>
      <c r="AY355" s="63"/>
      <c r="DU355" s="42">
        <v>0.09</v>
      </c>
      <c r="DV355" s="42">
        <v>0.09</v>
      </c>
      <c r="DW355" s="42" t="s">
        <v>408</v>
      </c>
      <c r="EJ355" s="12"/>
      <c r="EL355" s="15"/>
      <c r="FR355" s="42" t="s">
        <v>415</v>
      </c>
      <c r="FS355" s="42" t="s">
        <v>805</v>
      </c>
      <c r="FT355" s="42">
        <v>21</v>
      </c>
    </row>
    <row r="356" spans="1:176" s="42" customFormat="1" x14ac:dyDescent="0.25">
      <c r="A356" s="42">
        <v>21</v>
      </c>
      <c r="B356" s="42" t="s">
        <v>400</v>
      </c>
      <c r="C356" s="42" t="s">
        <v>401</v>
      </c>
      <c r="D356" s="42">
        <v>2013</v>
      </c>
      <c r="E356" s="42">
        <v>2011</v>
      </c>
      <c r="F356" s="42" t="s">
        <v>402</v>
      </c>
      <c r="G356" s="42" t="s">
        <v>404</v>
      </c>
      <c r="H356" s="42">
        <v>38.82</v>
      </c>
      <c r="I356" s="42">
        <v>-76.75</v>
      </c>
      <c r="J356" s="42">
        <v>5.5</v>
      </c>
      <c r="P356" s="59">
        <v>3</v>
      </c>
      <c r="Q356" s="59"/>
      <c r="R356" s="59" t="s">
        <v>411</v>
      </c>
      <c r="S356" s="59" t="s">
        <v>1555</v>
      </c>
      <c r="T356" s="59" t="s">
        <v>1555</v>
      </c>
      <c r="U356" s="59" t="s">
        <v>1555</v>
      </c>
      <c r="V356" s="59" t="s">
        <v>1903</v>
      </c>
      <c r="Z356" s="42" t="s">
        <v>1788</v>
      </c>
      <c r="AE356" s="42" t="s">
        <v>1710</v>
      </c>
      <c r="AF356" s="152" t="s">
        <v>666</v>
      </c>
      <c r="AG356" s="42" t="s">
        <v>416</v>
      </c>
      <c r="AH356" s="154" t="s">
        <v>267</v>
      </c>
      <c r="AO356" s="42" t="s">
        <v>403</v>
      </c>
      <c r="AP356" s="42" t="s">
        <v>403</v>
      </c>
      <c r="AQ356" s="42" t="s">
        <v>212</v>
      </c>
      <c r="AR356" s="42" t="s">
        <v>192</v>
      </c>
      <c r="AS356" s="42">
        <v>4</v>
      </c>
      <c r="AT356" s="42">
        <v>4</v>
      </c>
      <c r="AU356" s="42" t="s">
        <v>169</v>
      </c>
      <c r="AY356" s="63"/>
      <c r="DU356" s="42">
        <v>0.56000000000000005</v>
      </c>
      <c r="DV356" s="42">
        <v>0.37</v>
      </c>
      <c r="DW356" s="42" t="s">
        <v>408</v>
      </c>
      <c r="EJ356" s="12"/>
      <c r="EL356" s="15"/>
      <c r="FR356" s="42" t="s">
        <v>415</v>
      </c>
      <c r="FS356" s="42" t="s">
        <v>805</v>
      </c>
      <c r="FT356" s="42">
        <v>21</v>
      </c>
    </row>
    <row r="357" spans="1:176" s="42" customFormat="1" x14ac:dyDescent="0.25">
      <c r="A357" s="42">
        <v>21</v>
      </c>
      <c r="B357" s="42" t="s">
        <v>400</v>
      </c>
      <c r="C357" s="42" t="s">
        <v>401</v>
      </c>
      <c r="D357" s="42">
        <v>2013</v>
      </c>
      <c r="E357" s="42">
        <v>2011</v>
      </c>
      <c r="F357" s="42" t="s">
        <v>402</v>
      </c>
      <c r="G357" s="42" t="s">
        <v>404</v>
      </c>
      <c r="H357" s="42">
        <v>38.82</v>
      </c>
      <c r="I357" s="42">
        <v>-76.75</v>
      </c>
      <c r="J357" s="42">
        <v>5.5</v>
      </c>
      <c r="P357" s="59">
        <v>3</v>
      </c>
      <c r="Q357" s="59"/>
      <c r="R357" s="59" t="s">
        <v>412</v>
      </c>
      <c r="S357" s="59" t="s">
        <v>1555</v>
      </c>
      <c r="T357" s="59" t="s">
        <v>1555</v>
      </c>
      <c r="U357" s="59" t="s">
        <v>1555</v>
      </c>
      <c r="V357" s="59" t="s">
        <v>1903</v>
      </c>
      <c r="Z357" s="42" t="s">
        <v>1788</v>
      </c>
      <c r="AE357" s="42" t="s">
        <v>1710</v>
      </c>
      <c r="AF357" s="152" t="s">
        <v>666</v>
      </c>
      <c r="AG357" s="42" t="s">
        <v>416</v>
      </c>
      <c r="AH357" s="154" t="s">
        <v>267</v>
      </c>
      <c r="AO357" s="42" t="s">
        <v>403</v>
      </c>
      <c r="AP357" s="42" t="s">
        <v>403</v>
      </c>
      <c r="AQ357" s="42" t="s">
        <v>212</v>
      </c>
      <c r="AR357" s="42" t="s">
        <v>192</v>
      </c>
      <c r="AS357" s="42">
        <v>4</v>
      </c>
      <c r="AT357" s="42">
        <v>4</v>
      </c>
      <c r="AU357" s="42" t="s">
        <v>169</v>
      </c>
      <c r="AY357" s="63"/>
      <c r="DU357" s="42">
        <v>3.43</v>
      </c>
      <c r="DV357" s="42">
        <v>6.48</v>
      </c>
      <c r="DW357" s="42" t="s">
        <v>408</v>
      </c>
      <c r="EJ357" s="12"/>
      <c r="EL357" s="15"/>
      <c r="FR357" s="42" t="s">
        <v>415</v>
      </c>
      <c r="FS357" s="42" t="s">
        <v>805</v>
      </c>
      <c r="FT357" s="42">
        <v>21</v>
      </c>
    </row>
    <row r="358" spans="1:176" s="42" customFormat="1" x14ac:dyDescent="0.25">
      <c r="A358" s="42">
        <v>21</v>
      </c>
      <c r="B358" s="42" t="s">
        <v>400</v>
      </c>
      <c r="C358" s="42" t="s">
        <v>401</v>
      </c>
      <c r="D358" s="42">
        <v>2013</v>
      </c>
      <c r="E358" s="42">
        <v>2011</v>
      </c>
      <c r="F358" s="42" t="s">
        <v>402</v>
      </c>
      <c r="G358" s="42" t="s">
        <v>404</v>
      </c>
      <c r="H358" s="42">
        <v>38.82</v>
      </c>
      <c r="I358" s="42">
        <v>-76.75</v>
      </c>
      <c r="J358" s="42">
        <v>5.5</v>
      </c>
      <c r="P358" s="59">
        <v>3</v>
      </c>
      <c r="Q358" s="59"/>
      <c r="R358" s="59" t="s">
        <v>413</v>
      </c>
      <c r="S358" s="59" t="s">
        <v>1555</v>
      </c>
      <c r="T358" s="59" t="s">
        <v>1555</v>
      </c>
      <c r="U358" s="59" t="s">
        <v>1555</v>
      </c>
      <c r="V358" s="59" t="s">
        <v>1903</v>
      </c>
      <c r="Z358" s="42" t="s">
        <v>1788</v>
      </c>
      <c r="AE358" s="42" t="s">
        <v>1710</v>
      </c>
      <c r="AF358" s="152" t="s">
        <v>666</v>
      </c>
      <c r="AG358" s="42" t="s">
        <v>416</v>
      </c>
      <c r="AH358" s="154" t="s">
        <v>267</v>
      </c>
      <c r="AO358" s="42" t="s">
        <v>403</v>
      </c>
      <c r="AP358" s="42" t="s">
        <v>403</v>
      </c>
      <c r="AQ358" s="42" t="s">
        <v>212</v>
      </c>
      <c r="AR358" s="42" t="s">
        <v>192</v>
      </c>
      <c r="AS358" s="42">
        <v>4</v>
      </c>
      <c r="AT358" s="42">
        <v>4</v>
      </c>
      <c r="AU358" s="42" t="s">
        <v>169</v>
      </c>
      <c r="AY358" s="63"/>
      <c r="DU358" s="42">
        <v>6.02</v>
      </c>
      <c r="DV358" s="42">
        <v>7.96</v>
      </c>
      <c r="DW358" s="42" t="s">
        <v>408</v>
      </c>
      <c r="EJ358" s="12"/>
      <c r="EL358" s="15"/>
      <c r="FR358" s="42" t="s">
        <v>415</v>
      </c>
      <c r="FS358" s="42" t="s">
        <v>805</v>
      </c>
      <c r="FT358" s="42">
        <v>21</v>
      </c>
    </row>
    <row r="359" spans="1:176" s="44" customFormat="1" x14ac:dyDescent="0.25">
      <c r="A359" s="44">
        <v>22</v>
      </c>
      <c r="B359" s="44" t="s">
        <v>400</v>
      </c>
      <c r="C359" s="44" t="s">
        <v>401</v>
      </c>
      <c r="D359" s="44">
        <v>2013</v>
      </c>
      <c r="E359" s="44">
        <v>2009</v>
      </c>
      <c r="F359" s="44" t="s">
        <v>449</v>
      </c>
      <c r="G359" s="44" t="s">
        <v>404</v>
      </c>
      <c r="H359" s="44">
        <v>38.82</v>
      </c>
      <c r="I359" s="44">
        <v>-76.75</v>
      </c>
      <c r="J359" s="44">
        <v>5.5</v>
      </c>
      <c r="P359" s="60">
        <v>1</v>
      </c>
      <c r="Q359" s="60"/>
      <c r="R359" s="60" t="s">
        <v>266</v>
      </c>
      <c r="S359" s="60" t="s">
        <v>1555</v>
      </c>
      <c r="T359" s="60" t="s">
        <v>1555</v>
      </c>
      <c r="U359" s="60" t="s">
        <v>1555</v>
      </c>
      <c r="V359" s="59" t="s">
        <v>1903</v>
      </c>
      <c r="Z359" s="42" t="s">
        <v>1788</v>
      </c>
      <c r="AE359" s="44" t="s">
        <v>1710</v>
      </c>
      <c r="AF359" s="152" t="s">
        <v>666</v>
      </c>
      <c r="AG359" s="44" t="s">
        <v>416</v>
      </c>
      <c r="AH359" s="156" t="s">
        <v>267</v>
      </c>
      <c r="AO359" s="44" t="s">
        <v>403</v>
      </c>
      <c r="AP359" s="44" t="s">
        <v>403</v>
      </c>
      <c r="AQ359" s="44" t="s">
        <v>212</v>
      </c>
      <c r="AR359" s="44" t="s">
        <v>192</v>
      </c>
      <c r="AS359" s="44">
        <v>4</v>
      </c>
      <c r="AT359" s="44">
        <v>4</v>
      </c>
      <c r="AU359" s="44" t="s">
        <v>169</v>
      </c>
      <c r="AY359" s="65"/>
      <c r="EA359" s="44">
        <v>53</v>
      </c>
      <c r="EB359" s="44">
        <v>41</v>
      </c>
      <c r="EC359" s="44" t="s">
        <v>419</v>
      </c>
      <c r="FR359" s="44" t="s">
        <v>422</v>
      </c>
      <c r="FT359" s="44">
        <v>22</v>
      </c>
    </row>
    <row r="360" spans="1:176" s="44" customFormat="1" x14ac:dyDescent="0.25">
      <c r="A360" s="44">
        <v>22</v>
      </c>
      <c r="B360" s="44" t="s">
        <v>400</v>
      </c>
      <c r="C360" s="44" t="s">
        <v>401</v>
      </c>
      <c r="D360" s="44">
        <v>2013</v>
      </c>
      <c r="E360" s="44">
        <v>2010</v>
      </c>
      <c r="F360" s="44" t="s">
        <v>449</v>
      </c>
      <c r="G360" s="44" t="s">
        <v>404</v>
      </c>
      <c r="H360" s="44">
        <v>38.82</v>
      </c>
      <c r="I360" s="44">
        <v>-76.75</v>
      </c>
      <c r="J360" s="44">
        <v>5.5</v>
      </c>
      <c r="P360" s="60">
        <v>2</v>
      </c>
      <c r="Q360" s="60"/>
      <c r="R360" s="60" t="s">
        <v>265</v>
      </c>
      <c r="S360" s="60" t="s">
        <v>1555</v>
      </c>
      <c r="T360" s="60" t="s">
        <v>1555</v>
      </c>
      <c r="U360" s="60" t="s">
        <v>1555</v>
      </c>
      <c r="V360" s="59" t="s">
        <v>1903</v>
      </c>
      <c r="Z360" s="42" t="s">
        <v>1788</v>
      </c>
      <c r="AE360" s="44" t="s">
        <v>1710</v>
      </c>
      <c r="AF360" s="152" t="s">
        <v>666</v>
      </c>
      <c r="AG360" s="44" t="s">
        <v>416</v>
      </c>
      <c r="AH360" s="156" t="s">
        <v>267</v>
      </c>
      <c r="AO360" s="44" t="s">
        <v>417</v>
      </c>
      <c r="AP360" s="44" t="s">
        <v>417</v>
      </c>
      <c r="AQ360" s="44" t="s">
        <v>212</v>
      </c>
      <c r="AR360" s="44" t="s">
        <v>192</v>
      </c>
      <c r="AS360" s="44">
        <v>4</v>
      </c>
      <c r="AT360" s="44">
        <v>4</v>
      </c>
      <c r="AU360" s="44" t="s">
        <v>169</v>
      </c>
      <c r="AY360" s="65"/>
      <c r="EA360" s="44">
        <v>43.2</v>
      </c>
      <c r="EB360" s="44">
        <v>47.9</v>
      </c>
      <c r="EC360" s="44" t="s">
        <v>419</v>
      </c>
      <c r="FR360" s="44" t="s">
        <v>422</v>
      </c>
      <c r="FT360" s="44">
        <v>22</v>
      </c>
    </row>
    <row r="361" spans="1:176" s="44" customFormat="1" x14ac:dyDescent="0.25">
      <c r="A361" s="44">
        <v>22</v>
      </c>
      <c r="B361" s="44" t="s">
        <v>400</v>
      </c>
      <c r="C361" s="44" t="s">
        <v>401</v>
      </c>
      <c r="D361" s="44">
        <v>2013</v>
      </c>
      <c r="E361" s="44">
        <v>2010</v>
      </c>
      <c r="F361" s="44" t="s">
        <v>449</v>
      </c>
      <c r="G361" s="44" t="s">
        <v>404</v>
      </c>
      <c r="H361" s="44">
        <v>38.82</v>
      </c>
      <c r="I361" s="44">
        <v>-76.75</v>
      </c>
      <c r="J361" s="44">
        <v>5.5</v>
      </c>
      <c r="P361" s="60">
        <v>2</v>
      </c>
      <c r="Q361" s="60"/>
      <c r="R361" s="60" t="s">
        <v>265</v>
      </c>
      <c r="S361" s="60" t="s">
        <v>1555</v>
      </c>
      <c r="T361" s="60" t="s">
        <v>1555</v>
      </c>
      <c r="U361" s="60" t="s">
        <v>1555</v>
      </c>
      <c r="V361" s="59" t="s">
        <v>1903</v>
      </c>
      <c r="Z361" s="42" t="s">
        <v>1788</v>
      </c>
      <c r="AE361" s="44" t="s">
        <v>1710</v>
      </c>
      <c r="AF361" s="152" t="s">
        <v>666</v>
      </c>
      <c r="AG361" s="44" t="s">
        <v>416</v>
      </c>
      <c r="AH361" s="156" t="s">
        <v>267</v>
      </c>
      <c r="AO361" s="44" t="s">
        <v>418</v>
      </c>
      <c r="AP361" s="44" t="s">
        <v>418</v>
      </c>
      <c r="AQ361" s="44" t="s">
        <v>212</v>
      </c>
      <c r="AR361" s="44" t="s">
        <v>192</v>
      </c>
      <c r="AS361" s="44">
        <v>4</v>
      </c>
      <c r="AT361" s="44">
        <v>4</v>
      </c>
      <c r="AU361" s="44" t="s">
        <v>169</v>
      </c>
      <c r="AY361" s="65"/>
      <c r="EA361" s="44">
        <v>43</v>
      </c>
      <c r="EB361" s="44">
        <v>44.8</v>
      </c>
      <c r="EC361" s="44" t="s">
        <v>419</v>
      </c>
      <c r="FR361" s="44" t="s">
        <v>422</v>
      </c>
      <c r="FT361" s="44">
        <v>22</v>
      </c>
    </row>
    <row r="362" spans="1:176" s="43" customFormat="1" x14ac:dyDescent="0.25">
      <c r="A362" s="43">
        <v>22</v>
      </c>
      <c r="B362" s="43" t="s">
        <v>400</v>
      </c>
      <c r="C362" s="43" t="s">
        <v>401</v>
      </c>
      <c r="D362" s="43">
        <v>2013</v>
      </c>
      <c r="E362" s="43">
        <v>2011</v>
      </c>
      <c r="F362" s="43" t="s">
        <v>449</v>
      </c>
      <c r="G362" s="43" t="s">
        <v>404</v>
      </c>
      <c r="H362" s="43">
        <v>38.82</v>
      </c>
      <c r="I362" s="43">
        <v>-76.75</v>
      </c>
      <c r="J362" s="43">
        <v>5.5</v>
      </c>
      <c r="P362" s="61">
        <v>3</v>
      </c>
      <c r="Q362" s="61"/>
      <c r="R362" s="61" t="s">
        <v>265</v>
      </c>
      <c r="S362" s="61" t="s">
        <v>1555</v>
      </c>
      <c r="T362" s="61" t="s">
        <v>1555</v>
      </c>
      <c r="U362" s="61" t="s">
        <v>1555</v>
      </c>
      <c r="V362" s="61" t="s">
        <v>1903</v>
      </c>
      <c r="Z362" s="43" t="s">
        <v>1788</v>
      </c>
      <c r="AE362" s="43" t="s">
        <v>1710</v>
      </c>
      <c r="AF362" s="152" t="s">
        <v>666</v>
      </c>
      <c r="AG362" s="43" t="s">
        <v>416</v>
      </c>
      <c r="AH362" s="156" t="s">
        <v>267</v>
      </c>
      <c r="AO362" s="43" t="s">
        <v>417</v>
      </c>
      <c r="AP362" s="43" t="s">
        <v>417</v>
      </c>
      <c r="AQ362" s="43" t="s">
        <v>212</v>
      </c>
      <c r="AR362" s="43" t="s">
        <v>192</v>
      </c>
      <c r="AS362" s="43">
        <v>4</v>
      </c>
      <c r="AT362" s="43">
        <v>4</v>
      </c>
      <c r="AU362" s="43" t="s">
        <v>169</v>
      </c>
      <c r="AY362" s="65"/>
      <c r="EA362" s="43">
        <v>65.7</v>
      </c>
      <c r="EB362" s="43">
        <v>62.5</v>
      </c>
      <c r="EC362" s="43" t="s">
        <v>419</v>
      </c>
      <c r="FR362" s="43" t="s">
        <v>422</v>
      </c>
      <c r="FT362" s="43">
        <v>22</v>
      </c>
    </row>
    <row r="363" spans="1:176" s="43" customFormat="1" x14ac:dyDescent="0.25">
      <c r="A363" s="43">
        <v>22</v>
      </c>
      <c r="B363" s="43" t="s">
        <v>400</v>
      </c>
      <c r="C363" s="43" t="s">
        <v>401</v>
      </c>
      <c r="D363" s="43">
        <v>2013</v>
      </c>
      <c r="E363" s="43">
        <v>2011</v>
      </c>
      <c r="F363" s="43" t="s">
        <v>449</v>
      </c>
      <c r="G363" s="43" t="s">
        <v>404</v>
      </c>
      <c r="H363" s="43">
        <v>38.82</v>
      </c>
      <c r="I363" s="43">
        <v>-76.75</v>
      </c>
      <c r="J363" s="43">
        <v>5.5</v>
      </c>
      <c r="P363" s="61">
        <v>3</v>
      </c>
      <c r="Q363" s="61"/>
      <c r="R363" s="61" t="s">
        <v>265</v>
      </c>
      <c r="S363" s="61" t="s">
        <v>1555</v>
      </c>
      <c r="T363" s="61" t="s">
        <v>1555</v>
      </c>
      <c r="U363" s="61" t="s">
        <v>1555</v>
      </c>
      <c r="V363" s="61" t="s">
        <v>1903</v>
      </c>
      <c r="Z363" s="43" t="s">
        <v>1788</v>
      </c>
      <c r="AE363" s="43" t="s">
        <v>1710</v>
      </c>
      <c r="AF363" s="152" t="s">
        <v>666</v>
      </c>
      <c r="AG363" s="43" t="s">
        <v>416</v>
      </c>
      <c r="AH363" s="156" t="s">
        <v>267</v>
      </c>
      <c r="AO363" s="43" t="s">
        <v>418</v>
      </c>
      <c r="AP363" s="43" t="s">
        <v>418</v>
      </c>
      <c r="AQ363" s="43" t="s">
        <v>212</v>
      </c>
      <c r="AR363" s="43" t="s">
        <v>192</v>
      </c>
      <c r="AS363" s="43">
        <v>4</v>
      </c>
      <c r="AT363" s="43">
        <v>4</v>
      </c>
      <c r="AU363" s="43" t="s">
        <v>169</v>
      </c>
      <c r="AY363" s="65"/>
      <c r="EA363" s="43">
        <v>62</v>
      </c>
      <c r="EB363" s="43">
        <v>69</v>
      </c>
      <c r="EC363" s="43" t="s">
        <v>419</v>
      </c>
      <c r="FR363" s="43" t="s">
        <v>422</v>
      </c>
      <c r="FT363" s="43">
        <v>22</v>
      </c>
    </row>
    <row r="364" spans="1:176" s="43" customFormat="1" x14ac:dyDescent="0.25">
      <c r="A364" s="43">
        <v>22</v>
      </c>
      <c r="B364" s="43" t="s">
        <v>400</v>
      </c>
      <c r="C364" s="43" t="s">
        <v>401</v>
      </c>
      <c r="D364" s="43">
        <v>2013</v>
      </c>
      <c r="E364" s="43">
        <v>2011</v>
      </c>
      <c r="F364" s="43" t="s">
        <v>449</v>
      </c>
      <c r="G364" s="43" t="s">
        <v>404</v>
      </c>
      <c r="H364" s="43">
        <v>38.82</v>
      </c>
      <c r="I364" s="43">
        <v>-76.75</v>
      </c>
      <c r="J364" s="43">
        <v>5.5</v>
      </c>
      <c r="P364" s="61">
        <v>3</v>
      </c>
      <c r="Q364" s="61"/>
      <c r="R364" s="61" t="s">
        <v>420</v>
      </c>
      <c r="S364" s="61" t="s">
        <v>1555</v>
      </c>
      <c r="T364" s="61" t="s">
        <v>1555</v>
      </c>
      <c r="U364" s="61" t="s">
        <v>1555</v>
      </c>
      <c r="V364" s="61" t="s">
        <v>1903</v>
      </c>
      <c r="Z364" s="43" t="s">
        <v>1788</v>
      </c>
      <c r="AE364" s="43" t="s">
        <v>1710</v>
      </c>
      <c r="AF364" s="152" t="s">
        <v>666</v>
      </c>
      <c r="AG364" s="43" t="s">
        <v>416</v>
      </c>
      <c r="AH364" s="156" t="s">
        <v>267</v>
      </c>
      <c r="AO364" s="43" t="s">
        <v>417</v>
      </c>
      <c r="AP364" s="43" t="s">
        <v>417</v>
      </c>
      <c r="AQ364" s="43" t="s">
        <v>212</v>
      </c>
      <c r="AR364" s="43" t="s">
        <v>192</v>
      </c>
      <c r="AS364" s="43">
        <v>4</v>
      </c>
      <c r="AT364" s="43">
        <v>4</v>
      </c>
      <c r="AU364" s="43" t="s">
        <v>169</v>
      </c>
      <c r="AY364" s="65"/>
      <c r="EA364" s="43">
        <v>57.9</v>
      </c>
      <c r="EB364" s="43">
        <v>66.7</v>
      </c>
      <c r="EC364" s="43" t="s">
        <v>419</v>
      </c>
      <c r="FR364" s="43" t="s">
        <v>422</v>
      </c>
      <c r="FT364" s="43">
        <v>22</v>
      </c>
    </row>
    <row r="365" spans="1:176" s="43" customFormat="1" x14ac:dyDescent="0.25">
      <c r="A365" s="43">
        <v>22</v>
      </c>
      <c r="B365" s="43" t="s">
        <v>400</v>
      </c>
      <c r="C365" s="43" t="s">
        <v>401</v>
      </c>
      <c r="D365" s="43">
        <v>2013</v>
      </c>
      <c r="E365" s="43">
        <v>2011</v>
      </c>
      <c r="F365" s="43" t="s">
        <v>449</v>
      </c>
      <c r="G365" s="43" t="s">
        <v>404</v>
      </c>
      <c r="H365" s="43">
        <v>38.82</v>
      </c>
      <c r="I365" s="43">
        <v>-76.75</v>
      </c>
      <c r="J365" s="43">
        <v>5.5</v>
      </c>
      <c r="P365" s="61">
        <v>3</v>
      </c>
      <c r="Q365" s="61"/>
      <c r="R365" s="61" t="s">
        <v>420</v>
      </c>
      <c r="S365" s="61" t="s">
        <v>1555</v>
      </c>
      <c r="T365" s="61" t="s">
        <v>1555</v>
      </c>
      <c r="U365" s="61" t="s">
        <v>1555</v>
      </c>
      <c r="V365" s="61" t="s">
        <v>1903</v>
      </c>
      <c r="Z365" s="43" t="s">
        <v>1788</v>
      </c>
      <c r="AE365" s="43" t="s">
        <v>1710</v>
      </c>
      <c r="AF365" s="152" t="s">
        <v>666</v>
      </c>
      <c r="AG365" s="43" t="s">
        <v>416</v>
      </c>
      <c r="AH365" s="156" t="s">
        <v>267</v>
      </c>
      <c r="AO365" s="43" t="s">
        <v>418</v>
      </c>
      <c r="AP365" s="43" t="s">
        <v>418</v>
      </c>
      <c r="AQ365" s="43" t="s">
        <v>212</v>
      </c>
      <c r="AR365" s="43" t="s">
        <v>192</v>
      </c>
      <c r="AS365" s="43">
        <v>4</v>
      </c>
      <c r="AT365" s="43">
        <v>4</v>
      </c>
      <c r="AU365" s="43" t="s">
        <v>169</v>
      </c>
      <c r="AY365" s="65"/>
      <c r="EA365" s="43">
        <v>58.4</v>
      </c>
      <c r="EB365" s="43">
        <v>65.2</v>
      </c>
      <c r="EC365" s="43" t="s">
        <v>419</v>
      </c>
      <c r="FR365" s="43" t="s">
        <v>422</v>
      </c>
      <c r="FT365" s="43">
        <v>22</v>
      </c>
    </row>
    <row r="366" spans="1:176" s="43" customFormat="1" x14ac:dyDescent="0.25">
      <c r="A366" s="43">
        <v>22</v>
      </c>
      <c r="B366" s="43" t="s">
        <v>400</v>
      </c>
      <c r="C366" s="43" t="s">
        <v>401</v>
      </c>
      <c r="D366" s="43">
        <v>2013</v>
      </c>
      <c r="E366" s="43">
        <v>2011</v>
      </c>
      <c r="F366" s="43" t="s">
        <v>449</v>
      </c>
      <c r="G366" s="43" t="s">
        <v>404</v>
      </c>
      <c r="H366" s="43">
        <v>38.82</v>
      </c>
      <c r="I366" s="43">
        <v>-76.75</v>
      </c>
      <c r="J366" s="43">
        <v>5.5</v>
      </c>
      <c r="P366" s="61">
        <v>3</v>
      </c>
      <c r="Q366" s="61"/>
      <c r="R366" s="61" t="s">
        <v>421</v>
      </c>
      <c r="S366" s="61" t="s">
        <v>1555</v>
      </c>
      <c r="T366" s="61" t="s">
        <v>1555</v>
      </c>
      <c r="U366" s="61" t="s">
        <v>1555</v>
      </c>
      <c r="V366" s="61" t="s">
        <v>1903</v>
      </c>
      <c r="Z366" s="43" t="s">
        <v>1788</v>
      </c>
      <c r="AE366" s="43" t="s">
        <v>1710</v>
      </c>
      <c r="AF366" s="152" t="s">
        <v>666</v>
      </c>
      <c r="AG366" s="43" t="s">
        <v>416</v>
      </c>
      <c r="AH366" s="156" t="s">
        <v>267</v>
      </c>
      <c r="AO366" s="43" t="s">
        <v>417</v>
      </c>
      <c r="AP366" s="43" t="s">
        <v>417</v>
      </c>
      <c r="AQ366" s="43" t="s">
        <v>212</v>
      </c>
      <c r="AR366" s="43" t="s">
        <v>192</v>
      </c>
      <c r="AS366" s="43">
        <v>4</v>
      </c>
      <c r="AT366" s="43">
        <v>4</v>
      </c>
      <c r="AU366" s="43" t="s">
        <v>169</v>
      </c>
      <c r="AY366" s="65"/>
      <c r="EA366" s="43">
        <v>75.900000000000006</v>
      </c>
      <c r="EB366" s="43">
        <v>74.599999999999994</v>
      </c>
      <c r="EC366" s="43" t="s">
        <v>419</v>
      </c>
      <c r="FR366" s="43" t="s">
        <v>422</v>
      </c>
      <c r="FT366" s="43">
        <v>22</v>
      </c>
    </row>
    <row r="367" spans="1:176" s="43" customFormat="1" x14ac:dyDescent="0.25">
      <c r="A367" s="43">
        <v>22</v>
      </c>
      <c r="B367" s="43" t="s">
        <v>400</v>
      </c>
      <c r="C367" s="43" t="s">
        <v>401</v>
      </c>
      <c r="D367" s="43">
        <v>2013</v>
      </c>
      <c r="E367" s="43">
        <v>2011</v>
      </c>
      <c r="F367" s="43" t="s">
        <v>449</v>
      </c>
      <c r="G367" s="43" t="s">
        <v>404</v>
      </c>
      <c r="H367" s="43">
        <v>38.82</v>
      </c>
      <c r="I367" s="43">
        <v>-76.75</v>
      </c>
      <c r="J367" s="43">
        <v>5.5</v>
      </c>
      <c r="P367" s="61">
        <v>3</v>
      </c>
      <c r="Q367" s="61"/>
      <c r="R367" s="61" t="s">
        <v>421</v>
      </c>
      <c r="S367" s="61" t="s">
        <v>1555</v>
      </c>
      <c r="T367" s="61" t="s">
        <v>1555</v>
      </c>
      <c r="U367" s="61" t="s">
        <v>1555</v>
      </c>
      <c r="V367" s="61" t="s">
        <v>1903</v>
      </c>
      <c r="Z367" s="43" t="s">
        <v>1788</v>
      </c>
      <c r="AE367" s="43" t="s">
        <v>1710</v>
      </c>
      <c r="AF367" s="152" t="s">
        <v>666</v>
      </c>
      <c r="AG367" s="43" t="s">
        <v>416</v>
      </c>
      <c r="AH367" s="156" t="s">
        <v>267</v>
      </c>
      <c r="AO367" s="43" t="s">
        <v>418</v>
      </c>
      <c r="AP367" s="43" t="s">
        <v>418</v>
      </c>
      <c r="AQ367" s="43" t="s">
        <v>212</v>
      </c>
      <c r="AR367" s="43" t="s">
        <v>192</v>
      </c>
      <c r="AS367" s="43">
        <v>4</v>
      </c>
      <c r="AT367" s="43">
        <v>4</v>
      </c>
      <c r="AU367" s="43" t="s">
        <v>169</v>
      </c>
      <c r="AY367" s="65"/>
      <c r="EA367" s="43">
        <v>62.6</v>
      </c>
      <c r="EB367" s="43">
        <v>60.1</v>
      </c>
      <c r="EC367" s="43" t="s">
        <v>419</v>
      </c>
      <c r="FR367" s="43" t="s">
        <v>422</v>
      </c>
      <c r="FT367" s="43">
        <v>22</v>
      </c>
    </row>
    <row r="368" spans="1:176" s="42" customFormat="1" x14ac:dyDescent="0.25">
      <c r="A368" s="42">
        <v>23</v>
      </c>
      <c r="B368" s="42" t="s">
        <v>400</v>
      </c>
      <c r="C368" s="42" t="s">
        <v>401</v>
      </c>
      <c r="D368" s="42">
        <v>2016</v>
      </c>
      <c r="E368" s="42">
        <v>2009</v>
      </c>
      <c r="F368" s="42" t="s">
        <v>423</v>
      </c>
      <c r="G368" s="42" t="s">
        <v>405</v>
      </c>
      <c r="H368" s="42">
        <v>38.92</v>
      </c>
      <c r="I368" s="42">
        <v>-76.150000000000006</v>
      </c>
      <c r="J368" s="42">
        <v>4.8</v>
      </c>
      <c r="P368" s="59">
        <v>1</v>
      </c>
      <c r="Q368" s="59"/>
      <c r="R368" s="59" t="s">
        <v>424</v>
      </c>
      <c r="S368" s="59" t="s">
        <v>1555</v>
      </c>
      <c r="T368" s="59" t="s">
        <v>1555</v>
      </c>
      <c r="U368" s="59" t="s">
        <v>1555</v>
      </c>
      <c r="V368" s="59" t="s">
        <v>1903</v>
      </c>
      <c r="Z368" s="42" t="s">
        <v>1788</v>
      </c>
      <c r="AE368" s="42" t="s">
        <v>1710</v>
      </c>
      <c r="AF368" s="152" t="s">
        <v>666</v>
      </c>
      <c r="AG368" s="42" t="s">
        <v>416</v>
      </c>
      <c r="AH368" s="154" t="s">
        <v>267</v>
      </c>
      <c r="AO368" s="42" t="s">
        <v>403</v>
      </c>
      <c r="AP368" s="42" t="s">
        <v>403</v>
      </c>
      <c r="AQ368" s="42" t="s">
        <v>212</v>
      </c>
      <c r="AR368" s="42" t="s">
        <v>192</v>
      </c>
      <c r="AS368" s="42">
        <v>4</v>
      </c>
      <c r="AT368" s="42">
        <v>4</v>
      </c>
      <c r="AU368" s="42" t="s">
        <v>169</v>
      </c>
      <c r="AY368" s="63"/>
      <c r="BD368" s="42">
        <v>48.34</v>
      </c>
      <c r="BE368" s="42">
        <v>137.63</v>
      </c>
      <c r="EJ368" s="12"/>
      <c r="EL368" s="15"/>
      <c r="FT368" s="42">
        <v>23</v>
      </c>
    </row>
    <row r="369" spans="1:176" s="42" customFormat="1" x14ac:dyDescent="0.25">
      <c r="A369" s="42">
        <v>23</v>
      </c>
      <c r="B369" s="42" t="s">
        <v>400</v>
      </c>
      <c r="C369" s="42" t="s">
        <v>401</v>
      </c>
      <c r="D369" s="42">
        <v>2016</v>
      </c>
      <c r="E369" s="42">
        <v>2009</v>
      </c>
      <c r="F369" s="42" t="s">
        <v>423</v>
      </c>
      <c r="G369" s="42" t="s">
        <v>405</v>
      </c>
      <c r="H369" s="42">
        <v>38.92</v>
      </c>
      <c r="I369" s="42">
        <v>-76.150000000000006</v>
      </c>
      <c r="J369" s="42">
        <v>4.8</v>
      </c>
      <c r="P369" s="59">
        <v>1</v>
      </c>
      <c r="Q369" s="59"/>
      <c r="R369" s="59" t="s">
        <v>425</v>
      </c>
      <c r="S369" s="59" t="s">
        <v>1555</v>
      </c>
      <c r="T369" s="59" t="s">
        <v>1555</v>
      </c>
      <c r="U369" s="59" t="s">
        <v>1555</v>
      </c>
      <c r="V369" s="59" t="s">
        <v>1903</v>
      </c>
      <c r="Z369" s="42" t="s">
        <v>1788</v>
      </c>
      <c r="AE369" s="42" t="s">
        <v>1710</v>
      </c>
      <c r="AF369" s="152" t="s">
        <v>666</v>
      </c>
      <c r="AG369" s="42" t="s">
        <v>416</v>
      </c>
      <c r="AH369" s="154" t="s">
        <v>267</v>
      </c>
      <c r="AO369" s="42" t="s">
        <v>403</v>
      </c>
      <c r="AP369" s="42" t="s">
        <v>403</v>
      </c>
      <c r="AQ369" s="42" t="s">
        <v>212</v>
      </c>
      <c r="AR369" s="42" t="s">
        <v>192</v>
      </c>
      <c r="AS369" s="42">
        <v>4</v>
      </c>
      <c r="AT369" s="42">
        <v>4</v>
      </c>
      <c r="AU369" s="42" t="s">
        <v>169</v>
      </c>
      <c r="AY369" s="63"/>
      <c r="BD369" s="42">
        <v>380.767</v>
      </c>
      <c r="BE369" s="42">
        <v>486.28</v>
      </c>
      <c r="EJ369" s="12"/>
      <c r="EL369" s="15"/>
      <c r="FT369" s="42">
        <v>23</v>
      </c>
    </row>
    <row r="370" spans="1:176" s="42" customFormat="1" x14ac:dyDescent="0.25">
      <c r="A370" s="42">
        <v>23</v>
      </c>
      <c r="B370" s="42" t="s">
        <v>400</v>
      </c>
      <c r="C370" s="42" t="s">
        <v>401</v>
      </c>
      <c r="D370" s="42">
        <v>2016</v>
      </c>
      <c r="E370" s="42">
        <v>2009</v>
      </c>
      <c r="F370" s="42" t="s">
        <v>423</v>
      </c>
      <c r="G370" s="42" t="s">
        <v>405</v>
      </c>
      <c r="H370" s="42">
        <v>38.92</v>
      </c>
      <c r="I370" s="42">
        <v>-76.150000000000006</v>
      </c>
      <c r="J370" s="42">
        <v>4.8</v>
      </c>
      <c r="P370" s="59">
        <v>1</v>
      </c>
      <c r="Q370" s="59"/>
      <c r="R370" s="59" t="s">
        <v>426</v>
      </c>
      <c r="S370" s="59" t="s">
        <v>1555</v>
      </c>
      <c r="T370" s="59" t="s">
        <v>1555</v>
      </c>
      <c r="U370" s="59" t="s">
        <v>1555</v>
      </c>
      <c r="V370" s="59" t="s">
        <v>1903</v>
      </c>
      <c r="Z370" s="42" t="s">
        <v>1788</v>
      </c>
      <c r="AE370" s="42" t="s">
        <v>1710</v>
      </c>
      <c r="AF370" s="152" t="s">
        <v>666</v>
      </c>
      <c r="AG370" s="42" t="s">
        <v>416</v>
      </c>
      <c r="AH370" s="154" t="s">
        <v>267</v>
      </c>
      <c r="AO370" s="42" t="s">
        <v>403</v>
      </c>
      <c r="AP370" s="42" t="s">
        <v>403</v>
      </c>
      <c r="AQ370" s="42" t="s">
        <v>212</v>
      </c>
      <c r="AR370" s="42" t="s">
        <v>192</v>
      </c>
      <c r="AS370" s="42">
        <v>4</v>
      </c>
      <c r="AT370" s="42">
        <v>4</v>
      </c>
      <c r="AU370" s="42" t="s">
        <v>169</v>
      </c>
      <c r="AY370" s="63"/>
      <c r="BD370" s="42">
        <v>173.48</v>
      </c>
      <c r="BE370" s="42">
        <v>165.37</v>
      </c>
      <c r="EJ370" s="12"/>
      <c r="EL370" s="15"/>
      <c r="FT370" s="42">
        <v>23</v>
      </c>
    </row>
    <row r="371" spans="1:176" s="42" customFormat="1" x14ac:dyDescent="0.25">
      <c r="A371" s="42">
        <v>23</v>
      </c>
      <c r="B371" s="42" t="s">
        <v>400</v>
      </c>
      <c r="C371" s="42" t="s">
        <v>401</v>
      </c>
      <c r="D371" s="42">
        <v>2016</v>
      </c>
      <c r="E371" s="42">
        <v>2009</v>
      </c>
      <c r="F371" s="42" t="s">
        <v>423</v>
      </c>
      <c r="G371" s="42" t="s">
        <v>405</v>
      </c>
      <c r="H371" s="42">
        <v>38.92</v>
      </c>
      <c r="I371" s="42">
        <v>-76.150000000000006</v>
      </c>
      <c r="J371" s="42">
        <v>4.8</v>
      </c>
      <c r="P371" s="59">
        <v>1</v>
      </c>
      <c r="Q371" s="59"/>
      <c r="R371" s="59" t="s">
        <v>427</v>
      </c>
      <c r="S371" s="59" t="s">
        <v>1555</v>
      </c>
      <c r="T371" s="59" t="s">
        <v>1555</v>
      </c>
      <c r="U371" s="59" t="s">
        <v>1555</v>
      </c>
      <c r="V371" s="59" t="s">
        <v>1903</v>
      </c>
      <c r="Z371" s="42" t="s">
        <v>1788</v>
      </c>
      <c r="AE371" s="42" t="s">
        <v>1710</v>
      </c>
      <c r="AF371" s="152" t="s">
        <v>666</v>
      </c>
      <c r="AG371" s="42" t="s">
        <v>416</v>
      </c>
      <c r="AH371" s="154" t="s">
        <v>267</v>
      </c>
      <c r="AO371" s="42" t="s">
        <v>403</v>
      </c>
      <c r="AP371" s="42" t="s">
        <v>403</v>
      </c>
      <c r="AQ371" s="42" t="s">
        <v>212</v>
      </c>
      <c r="AR371" s="42" t="s">
        <v>192</v>
      </c>
      <c r="AS371" s="42">
        <v>4</v>
      </c>
      <c r="AT371" s="42">
        <v>4</v>
      </c>
      <c r="AU371" s="42" t="s">
        <v>169</v>
      </c>
      <c r="AY371" s="63"/>
      <c r="BD371" s="42">
        <v>205.76</v>
      </c>
      <c r="BE371" s="42">
        <v>148.96</v>
      </c>
      <c r="EJ371" s="12"/>
      <c r="EL371" s="15"/>
      <c r="FT371" s="42">
        <v>23</v>
      </c>
    </row>
    <row r="372" spans="1:176" s="42" customFormat="1" x14ac:dyDescent="0.25">
      <c r="A372" s="42">
        <v>23</v>
      </c>
      <c r="B372" s="42" t="s">
        <v>400</v>
      </c>
      <c r="C372" s="42" t="s">
        <v>401</v>
      </c>
      <c r="D372" s="42">
        <v>2016</v>
      </c>
      <c r="E372" s="42">
        <v>2009</v>
      </c>
      <c r="F372" s="42" t="s">
        <v>423</v>
      </c>
      <c r="G372" s="42" t="s">
        <v>405</v>
      </c>
      <c r="H372" s="42">
        <v>38.92</v>
      </c>
      <c r="I372" s="42">
        <v>-76.150000000000006</v>
      </c>
      <c r="J372" s="42">
        <v>4.8</v>
      </c>
      <c r="P372" s="59">
        <v>1</v>
      </c>
      <c r="Q372" s="59"/>
      <c r="R372" s="59" t="s">
        <v>428</v>
      </c>
      <c r="S372" s="59" t="s">
        <v>1555</v>
      </c>
      <c r="T372" s="59" t="s">
        <v>1555</v>
      </c>
      <c r="U372" s="59" t="s">
        <v>1555</v>
      </c>
      <c r="V372" s="59" t="s">
        <v>1903</v>
      </c>
      <c r="Z372" s="42" t="s">
        <v>1788</v>
      </c>
      <c r="AE372" s="42" t="s">
        <v>1710</v>
      </c>
      <c r="AF372" s="152" t="s">
        <v>666</v>
      </c>
      <c r="AG372" s="42" t="s">
        <v>416</v>
      </c>
      <c r="AH372" s="154" t="s">
        <v>267</v>
      </c>
      <c r="AO372" s="42" t="s">
        <v>403</v>
      </c>
      <c r="AP372" s="42" t="s">
        <v>403</v>
      </c>
      <c r="AQ372" s="42" t="s">
        <v>212</v>
      </c>
      <c r="AR372" s="42" t="s">
        <v>192</v>
      </c>
      <c r="AS372" s="42">
        <v>4</v>
      </c>
      <c r="AT372" s="42">
        <v>4</v>
      </c>
      <c r="AU372" s="42" t="s">
        <v>169</v>
      </c>
      <c r="AY372" s="63"/>
      <c r="BD372" s="42">
        <v>773.56</v>
      </c>
      <c r="BE372" s="42">
        <v>375.87</v>
      </c>
      <c r="EJ372" s="12"/>
      <c r="EL372" s="15"/>
      <c r="FT372" s="42">
        <v>23</v>
      </c>
    </row>
    <row r="373" spans="1:176" s="42" customFormat="1" x14ac:dyDescent="0.25">
      <c r="A373" s="42">
        <v>23</v>
      </c>
      <c r="B373" s="42" t="s">
        <v>400</v>
      </c>
      <c r="C373" s="42" t="s">
        <v>401</v>
      </c>
      <c r="D373" s="42">
        <v>2016</v>
      </c>
      <c r="E373" s="42">
        <v>2009</v>
      </c>
      <c r="F373" s="42" t="s">
        <v>423</v>
      </c>
      <c r="G373" s="42" t="s">
        <v>405</v>
      </c>
      <c r="H373" s="42">
        <v>38.92</v>
      </c>
      <c r="I373" s="42">
        <v>-76.150000000000006</v>
      </c>
      <c r="J373" s="42">
        <v>4.8</v>
      </c>
      <c r="P373" s="59">
        <v>1</v>
      </c>
      <c r="Q373" s="59"/>
      <c r="R373" s="59" t="s">
        <v>429</v>
      </c>
      <c r="S373" s="59" t="s">
        <v>1555</v>
      </c>
      <c r="T373" s="59" t="s">
        <v>1555</v>
      </c>
      <c r="U373" s="59" t="s">
        <v>1555</v>
      </c>
      <c r="V373" s="59" t="s">
        <v>1903</v>
      </c>
      <c r="Z373" s="42" t="s">
        <v>1788</v>
      </c>
      <c r="AE373" s="42" t="s">
        <v>1710</v>
      </c>
      <c r="AF373" s="152" t="s">
        <v>666</v>
      </c>
      <c r="AG373" s="42" t="s">
        <v>416</v>
      </c>
      <c r="AH373" s="154" t="s">
        <v>267</v>
      </c>
      <c r="AO373" s="42" t="s">
        <v>403</v>
      </c>
      <c r="AP373" s="42" t="s">
        <v>403</v>
      </c>
      <c r="AQ373" s="42" t="s">
        <v>212</v>
      </c>
      <c r="AR373" s="42" t="s">
        <v>192</v>
      </c>
      <c r="AS373" s="42">
        <v>4</v>
      </c>
      <c r="AT373" s="42">
        <v>4</v>
      </c>
      <c r="AU373" s="42" t="s">
        <v>169</v>
      </c>
      <c r="AY373" s="63"/>
      <c r="BD373" s="42">
        <v>980.16</v>
      </c>
      <c r="BE373" s="42">
        <v>631.19000000000005</v>
      </c>
      <c r="EJ373" s="12"/>
      <c r="EL373" s="15"/>
      <c r="FT373" s="42">
        <v>23</v>
      </c>
    </row>
    <row r="374" spans="1:176" s="42" customFormat="1" x14ac:dyDescent="0.25">
      <c r="A374" s="42">
        <v>23</v>
      </c>
      <c r="B374" s="42" t="s">
        <v>400</v>
      </c>
      <c r="C374" s="42" t="s">
        <v>401</v>
      </c>
      <c r="D374" s="42">
        <v>2016</v>
      </c>
      <c r="E374" s="42">
        <v>2009</v>
      </c>
      <c r="F374" s="42" t="s">
        <v>423</v>
      </c>
      <c r="G374" s="42" t="s">
        <v>405</v>
      </c>
      <c r="H374" s="42">
        <v>38.92</v>
      </c>
      <c r="I374" s="42">
        <v>-76.150000000000006</v>
      </c>
      <c r="J374" s="42">
        <v>4.8</v>
      </c>
      <c r="P374" s="59">
        <v>1</v>
      </c>
      <c r="Q374" s="59"/>
      <c r="R374" s="59" t="s">
        <v>430</v>
      </c>
      <c r="S374" s="59" t="s">
        <v>1555</v>
      </c>
      <c r="T374" s="59" t="s">
        <v>1555</v>
      </c>
      <c r="U374" s="59" t="s">
        <v>1555</v>
      </c>
      <c r="V374" s="59" t="s">
        <v>1903</v>
      </c>
      <c r="Z374" s="42" t="s">
        <v>1788</v>
      </c>
      <c r="AE374" s="42" t="s">
        <v>1710</v>
      </c>
      <c r="AF374" s="152" t="s">
        <v>666</v>
      </c>
      <c r="AG374" s="42" t="s">
        <v>416</v>
      </c>
      <c r="AH374" s="154" t="s">
        <v>267</v>
      </c>
      <c r="AO374" s="42" t="s">
        <v>403</v>
      </c>
      <c r="AP374" s="42" t="s">
        <v>403</v>
      </c>
      <c r="AQ374" s="42" t="s">
        <v>212</v>
      </c>
      <c r="AR374" s="42" t="s">
        <v>192</v>
      </c>
      <c r="AS374" s="42">
        <v>4</v>
      </c>
      <c r="AT374" s="42">
        <v>4</v>
      </c>
      <c r="AU374" s="42" t="s">
        <v>169</v>
      </c>
      <c r="AY374" s="63"/>
      <c r="BD374" s="42">
        <v>1158.3800000000001</v>
      </c>
      <c r="BE374" s="42">
        <v>358.94</v>
      </c>
      <c r="EJ374" s="12"/>
      <c r="EL374" s="15"/>
      <c r="FT374" s="42">
        <v>23</v>
      </c>
    </row>
    <row r="375" spans="1:176" s="42" customFormat="1" x14ac:dyDescent="0.25">
      <c r="A375" s="42">
        <v>23</v>
      </c>
      <c r="B375" s="42" t="s">
        <v>400</v>
      </c>
      <c r="C375" s="42" t="s">
        <v>401</v>
      </c>
      <c r="D375" s="42">
        <v>2016</v>
      </c>
      <c r="E375" s="42">
        <v>2009</v>
      </c>
      <c r="F375" s="42" t="s">
        <v>423</v>
      </c>
      <c r="G375" s="42" t="s">
        <v>405</v>
      </c>
      <c r="H375" s="42">
        <v>38.92</v>
      </c>
      <c r="I375" s="42">
        <v>-76.150000000000006</v>
      </c>
      <c r="J375" s="42">
        <v>4.8</v>
      </c>
      <c r="P375" s="59">
        <v>1</v>
      </c>
      <c r="Q375" s="59"/>
      <c r="R375" s="59" t="s">
        <v>431</v>
      </c>
      <c r="S375" s="59" t="s">
        <v>1555</v>
      </c>
      <c r="T375" s="59" t="s">
        <v>1555</v>
      </c>
      <c r="U375" s="59" t="s">
        <v>1555</v>
      </c>
      <c r="V375" s="59" t="s">
        <v>1903</v>
      </c>
      <c r="Z375" s="42" t="s">
        <v>1788</v>
      </c>
      <c r="AE375" s="42" t="s">
        <v>1710</v>
      </c>
      <c r="AF375" s="152" t="s">
        <v>666</v>
      </c>
      <c r="AG375" s="42" t="s">
        <v>416</v>
      </c>
      <c r="AH375" s="154" t="s">
        <v>267</v>
      </c>
      <c r="AO375" s="42" t="s">
        <v>403</v>
      </c>
      <c r="AP375" s="42" t="s">
        <v>403</v>
      </c>
      <c r="AQ375" s="42" t="s">
        <v>212</v>
      </c>
      <c r="AR375" s="42" t="s">
        <v>192</v>
      </c>
      <c r="AS375" s="42">
        <v>4</v>
      </c>
      <c r="AT375" s="42">
        <v>4</v>
      </c>
      <c r="AU375" s="42" t="s">
        <v>169</v>
      </c>
      <c r="AY375" s="63"/>
      <c r="BD375" s="42">
        <v>573.70000000000005</v>
      </c>
      <c r="BE375" s="42">
        <v>131.72999999999999</v>
      </c>
      <c r="EJ375" s="12"/>
      <c r="EL375" s="15"/>
      <c r="FT375" s="42">
        <v>23</v>
      </c>
    </row>
    <row r="376" spans="1:176" s="42" customFormat="1" x14ac:dyDescent="0.25">
      <c r="A376" s="42">
        <v>23</v>
      </c>
      <c r="B376" s="42" t="s">
        <v>400</v>
      </c>
      <c r="C376" s="42" t="s">
        <v>401</v>
      </c>
      <c r="D376" s="42">
        <v>2016</v>
      </c>
      <c r="E376" s="42">
        <v>2009</v>
      </c>
      <c r="F376" s="42" t="s">
        <v>423</v>
      </c>
      <c r="G376" s="42" t="s">
        <v>405</v>
      </c>
      <c r="H376" s="42">
        <v>38.92</v>
      </c>
      <c r="I376" s="42">
        <v>-76.150000000000006</v>
      </c>
      <c r="J376" s="42">
        <v>4.8</v>
      </c>
      <c r="P376" s="59">
        <v>1</v>
      </c>
      <c r="Q376" s="59"/>
      <c r="R376" s="59" t="s">
        <v>432</v>
      </c>
      <c r="S376" s="59" t="s">
        <v>1555</v>
      </c>
      <c r="T376" s="59" t="s">
        <v>1555</v>
      </c>
      <c r="U376" s="59" t="s">
        <v>1555</v>
      </c>
      <c r="V376" s="59" t="s">
        <v>1903</v>
      </c>
      <c r="Z376" s="42" t="s">
        <v>1788</v>
      </c>
      <c r="AE376" s="42" t="s">
        <v>1710</v>
      </c>
      <c r="AF376" s="152" t="s">
        <v>666</v>
      </c>
      <c r="AG376" s="42" t="s">
        <v>416</v>
      </c>
      <c r="AH376" s="154" t="s">
        <v>267</v>
      </c>
      <c r="AO376" s="42" t="s">
        <v>403</v>
      </c>
      <c r="AP376" s="42" t="s">
        <v>403</v>
      </c>
      <c r="AQ376" s="42" t="s">
        <v>212</v>
      </c>
      <c r="AR376" s="42" t="s">
        <v>192</v>
      </c>
      <c r="AS376" s="42">
        <v>4</v>
      </c>
      <c r="AT376" s="42">
        <v>4</v>
      </c>
      <c r="AU376" s="42" t="s">
        <v>169</v>
      </c>
      <c r="AY376" s="63"/>
      <c r="BD376" s="42">
        <v>800.61</v>
      </c>
      <c r="BE376" s="42">
        <v>191.9</v>
      </c>
      <c r="EJ376" s="12"/>
      <c r="EL376" s="15"/>
      <c r="FT376" s="42">
        <v>23</v>
      </c>
    </row>
    <row r="377" spans="1:176" s="42" customFormat="1" x14ac:dyDescent="0.25">
      <c r="A377" s="42">
        <v>23</v>
      </c>
      <c r="B377" s="42" t="s">
        <v>400</v>
      </c>
      <c r="C377" s="42" t="s">
        <v>401</v>
      </c>
      <c r="D377" s="42">
        <v>2016</v>
      </c>
      <c r="E377" s="42">
        <v>2009</v>
      </c>
      <c r="F377" s="42" t="s">
        <v>423</v>
      </c>
      <c r="G377" s="42" t="s">
        <v>405</v>
      </c>
      <c r="H377" s="42">
        <v>38.92</v>
      </c>
      <c r="I377" s="42">
        <v>-76.150000000000006</v>
      </c>
      <c r="J377" s="42">
        <v>4.8</v>
      </c>
      <c r="P377" s="59">
        <v>1</v>
      </c>
      <c r="Q377" s="59"/>
      <c r="R377" s="59" t="s">
        <v>433</v>
      </c>
      <c r="S377" s="59" t="s">
        <v>1555</v>
      </c>
      <c r="T377" s="59" t="s">
        <v>1555</v>
      </c>
      <c r="U377" s="59" t="s">
        <v>1555</v>
      </c>
      <c r="V377" s="59" t="s">
        <v>1903</v>
      </c>
      <c r="Z377" s="42" t="s">
        <v>1788</v>
      </c>
      <c r="AE377" s="42" t="s">
        <v>1710</v>
      </c>
      <c r="AF377" s="152" t="s">
        <v>666</v>
      </c>
      <c r="AG377" s="42" t="s">
        <v>416</v>
      </c>
      <c r="AH377" s="154" t="s">
        <v>267</v>
      </c>
      <c r="AO377" s="42" t="s">
        <v>403</v>
      </c>
      <c r="AP377" s="42" t="s">
        <v>403</v>
      </c>
      <c r="AQ377" s="42" t="s">
        <v>212</v>
      </c>
      <c r="AR377" s="42" t="s">
        <v>192</v>
      </c>
      <c r="AS377" s="42">
        <v>4</v>
      </c>
      <c r="AT377" s="42">
        <v>4</v>
      </c>
      <c r="AU377" s="42" t="s">
        <v>169</v>
      </c>
      <c r="AY377" s="63"/>
      <c r="BD377" s="42">
        <v>893.59</v>
      </c>
      <c r="BE377" s="42">
        <v>240.28</v>
      </c>
      <c r="EJ377" s="12"/>
      <c r="EL377" s="15"/>
      <c r="FT377" s="42">
        <v>23</v>
      </c>
    </row>
    <row r="378" spans="1:176" s="42" customFormat="1" x14ac:dyDescent="0.25">
      <c r="A378" s="42">
        <v>23</v>
      </c>
      <c r="B378" s="42" t="s">
        <v>400</v>
      </c>
      <c r="C378" s="42" t="s">
        <v>401</v>
      </c>
      <c r="D378" s="42">
        <v>2016</v>
      </c>
      <c r="E378" s="42">
        <v>2009</v>
      </c>
      <c r="F378" s="42" t="s">
        <v>423</v>
      </c>
      <c r="G378" s="42" t="s">
        <v>405</v>
      </c>
      <c r="H378" s="42">
        <v>38.92</v>
      </c>
      <c r="I378" s="42">
        <v>-76.150000000000006</v>
      </c>
      <c r="J378" s="42">
        <v>4.8</v>
      </c>
      <c r="P378" s="59">
        <v>1</v>
      </c>
      <c r="Q378" s="59"/>
      <c r="R378" s="59" t="s">
        <v>434</v>
      </c>
      <c r="S378" s="59" t="s">
        <v>1555</v>
      </c>
      <c r="T378" s="59" t="s">
        <v>1555</v>
      </c>
      <c r="U378" s="59" t="s">
        <v>1555</v>
      </c>
      <c r="V378" s="59" t="s">
        <v>1903</v>
      </c>
      <c r="Z378" s="42" t="s">
        <v>1788</v>
      </c>
      <c r="AE378" s="42" t="s">
        <v>1710</v>
      </c>
      <c r="AF378" s="152" t="s">
        <v>666</v>
      </c>
      <c r="AG378" s="42" t="s">
        <v>416</v>
      </c>
      <c r="AH378" s="154" t="s">
        <v>267</v>
      </c>
      <c r="AO378" s="42" t="s">
        <v>403</v>
      </c>
      <c r="AP378" s="42" t="s">
        <v>403</v>
      </c>
      <c r="AQ378" s="42" t="s">
        <v>212</v>
      </c>
      <c r="AR378" s="42" t="s">
        <v>192</v>
      </c>
      <c r="AS378" s="42">
        <v>4</v>
      </c>
      <c r="AT378" s="42">
        <v>4</v>
      </c>
      <c r="AU378" s="42" t="s">
        <v>169</v>
      </c>
      <c r="AY378" s="63"/>
      <c r="BD378" s="42">
        <v>787.75</v>
      </c>
      <c r="BE378" s="42">
        <v>183.11</v>
      </c>
      <c r="EJ378" s="12"/>
      <c r="EL378" s="15"/>
      <c r="FT378" s="42">
        <v>23</v>
      </c>
    </row>
    <row r="379" spans="1:176" s="42" customFormat="1" x14ac:dyDescent="0.25">
      <c r="A379" s="42">
        <v>23</v>
      </c>
      <c r="B379" s="42" t="s">
        <v>400</v>
      </c>
      <c r="C379" s="42" t="s">
        <v>401</v>
      </c>
      <c r="D379" s="42">
        <v>2016</v>
      </c>
      <c r="E379" s="42">
        <v>2009</v>
      </c>
      <c r="F379" s="42" t="s">
        <v>423</v>
      </c>
      <c r="G379" s="42" t="s">
        <v>405</v>
      </c>
      <c r="H379" s="42">
        <v>38.92</v>
      </c>
      <c r="I379" s="42">
        <v>-76.150000000000006</v>
      </c>
      <c r="J379" s="42">
        <v>4.8</v>
      </c>
      <c r="P379" s="59">
        <v>1</v>
      </c>
      <c r="Q379" s="59"/>
      <c r="R379" s="59" t="s">
        <v>436</v>
      </c>
      <c r="S379" s="59" t="s">
        <v>1555</v>
      </c>
      <c r="T379" s="59" t="s">
        <v>1555</v>
      </c>
      <c r="U379" s="59" t="s">
        <v>1555</v>
      </c>
      <c r="V379" s="59" t="s">
        <v>1903</v>
      </c>
      <c r="Z379" s="42" t="s">
        <v>1788</v>
      </c>
      <c r="AE379" s="42" t="s">
        <v>1710</v>
      </c>
      <c r="AF379" s="152" t="s">
        <v>666</v>
      </c>
      <c r="AG379" s="42" t="s">
        <v>416</v>
      </c>
      <c r="AH379" s="154" t="s">
        <v>267</v>
      </c>
      <c r="AO379" s="42" t="s">
        <v>403</v>
      </c>
      <c r="AP379" s="42" t="s">
        <v>403</v>
      </c>
      <c r="AQ379" s="42" t="s">
        <v>212</v>
      </c>
      <c r="AR379" s="42" t="s">
        <v>192</v>
      </c>
      <c r="AS379" s="42">
        <v>4</v>
      </c>
      <c r="AT379" s="42">
        <v>4</v>
      </c>
      <c r="AU379" s="42" t="s">
        <v>169</v>
      </c>
      <c r="AY379" s="63"/>
      <c r="BD379" s="42">
        <v>414.26</v>
      </c>
      <c r="BE379" s="42">
        <v>158.61000000000001</v>
      </c>
      <c r="EJ379" s="12"/>
      <c r="EL379" s="15"/>
      <c r="FT379" s="42">
        <v>23</v>
      </c>
    </row>
    <row r="380" spans="1:176" s="26" customFormat="1" x14ac:dyDescent="0.25">
      <c r="A380" s="26">
        <v>23</v>
      </c>
      <c r="B380" s="26" t="s">
        <v>400</v>
      </c>
      <c r="C380" s="26" t="s">
        <v>401</v>
      </c>
      <c r="D380" s="26">
        <v>2016</v>
      </c>
      <c r="E380" s="26">
        <v>2009</v>
      </c>
      <c r="F380" s="26" t="s">
        <v>423</v>
      </c>
      <c r="G380" s="26" t="s">
        <v>404</v>
      </c>
      <c r="H380" s="26">
        <v>38.82</v>
      </c>
      <c r="I380" s="26">
        <v>-76.75</v>
      </c>
      <c r="J380" s="26">
        <v>5.5</v>
      </c>
      <c r="P380" s="52">
        <v>1</v>
      </c>
      <c r="Q380" s="52"/>
      <c r="R380" s="52" t="s">
        <v>424</v>
      </c>
      <c r="S380" s="52" t="s">
        <v>1555</v>
      </c>
      <c r="T380" s="52" t="s">
        <v>1555</v>
      </c>
      <c r="U380" s="52" t="s">
        <v>1555</v>
      </c>
      <c r="V380" s="52" t="s">
        <v>1903</v>
      </c>
      <c r="Z380" s="26" t="s">
        <v>1788</v>
      </c>
      <c r="AE380" s="26" t="s">
        <v>1710</v>
      </c>
      <c r="AF380" s="152" t="s">
        <v>666</v>
      </c>
      <c r="AG380" s="26" t="s">
        <v>416</v>
      </c>
      <c r="AH380" s="154" t="s">
        <v>267</v>
      </c>
      <c r="AO380" s="26" t="s">
        <v>403</v>
      </c>
      <c r="AP380" s="26" t="s">
        <v>403</v>
      </c>
      <c r="AQ380" s="26" t="s">
        <v>212</v>
      </c>
      <c r="AR380" s="26" t="s">
        <v>192</v>
      </c>
      <c r="AS380" s="26">
        <v>4</v>
      </c>
      <c r="AT380" s="26">
        <v>4</v>
      </c>
      <c r="AU380" s="26" t="s">
        <v>169</v>
      </c>
      <c r="AY380" s="63"/>
      <c r="BD380" s="26">
        <v>134.26</v>
      </c>
      <c r="BE380" s="26">
        <v>124.87</v>
      </c>
      <c r="EJ380" s="12"/>
      <c r="EL380" s="15"/>
      <c r="FT380" s="26">
        <v>23</v>
      </c>
    </row>
    <row r="381" spans="1:176" s="26" customFormat="1" x14ac:dyDescent="0.25">
      <c r="A381" s="26">
        <v>23</v>
      </c>
      <c r="B381" s="26" t="s">
        <v>400</v>
      </c>
      <c r="C381" s="26" t="s">
        <v>401</v>
      </c>
      <c r="D381" s="26">
        <v>2016</v>
      </c>
      <c r="E381" s="26">
        <v>2009</v>
      </c>
      <c r="F381" s="26" t="s">
        <v>423</v>
      </c>
      <c r="G381" s="26" t="s">
        <v>404</v>
      </c>
      <c r="H381" s="26">
        <v>38.82</v>
      </c>
      <c r="I381" s="26">
        <v>-76.75</v>
      </c>
      <c r="J381" s="26">
        <v>5.5</v>
      </c>
      <c r="P381" s="52">
        <v>1</v>
      </c>
      <c r="Q381" s="52"/>
      <c r="R381" s="52" t="s">
        <v>425</v>
      </c>
      <c r="S381" s="52" t="s">
        <v>1555</v>
      </c>
      <c r="T381" s="52" t="s">
        <v>1555</v>
      </c>
      <c r="U381" s="52" t="s">
        <v>1555</v>
      </c>
      <c r="V381" s="52" t="s">
        <v>1903</v>
      </c>
      <c r="Z381" s="26" t="s">
        <v>1788</v>
      </c>
      <c r="AE381" s="26" t="s">
        <v>1710</v>
      </c>
      <c r="AF381" s="152" t="s">
        <v>666</v>
      </c>
      <c r="AG381" s="26" t="s">
        <v>416</v>
      </c>
      <c r="AH381" s="154" t="s">
        <v>267</v>
      </c>
      <c r="AO381" s="26" t="s">
        <v>403</v>
      </c>
      <c r="AP381" s="26" t="s">
        <v>403</v>
      </c>
      <c r="AQ381" s="26" t="s">
        <v>212</v>
      </c>
      <c r="AR381" s="26" t="s">
        <v>192</v>
      </c>
      <c r="AS381" s="26">
        <v>4</v>
      </c>
      <c r="AT381" s="26">
        <v>4</v>
      </c>
      <c r="AU381" s="26" t="s">
        <v>169</v>
      </c>
      <c r="AY381" s="63"/>
      <c r="BD381" s="26">
        <v>145.25</v>
      </c>
      <c r="BE381" s="26">
        <v>134.22999999999999</v>
      </c>
      <c r="EJ381" s="12"/>
      <c r="EL381" s="15"/>
      <c r="FT381" s="26">
        <v>23</v>
      </c>
    </row>
    <row r="382" spans="1:176" s="26" customFormat="1" x14ac:dyDescent="0.25">
      <c r="A382" s="26">
        <v>23</v>
      </c>
      <c r="B382" s="26" t="s">
        <v>400</v>
      </c>
      <c r="C382" s="26" t="s">
        <v>401</v>
      </c>
      <c r="D382" s="26">
        <v>2016</v>
      </c>
      <c r="E382" s="26">
        <v>2009</v>
      </c>
      <c r="F382" s="26" t="s">
        <v>423</v>
      </c>
      <c r="G382" s="26" t="s">
        <v>404</v>
      </c>
      <c r="H382" s="26">
        <v>38.82</v>
      </c>
      <c r="I382" s="26">
        <v>-76.75</v>
      </c>
      <c r="J382" s="26">
        <v>5.5</v>
      </c>
      <c r="P382" s="52">
        <v>1</v>
      </c>
      <c r="Q382" s="52"/>
      <c r="R382" s="52" t="s">
        <v>426</v>
      </c>
      <c r="S382" s="52" t="s">
        <v>1555</v>
      </c>
      <c r="T382" s="52" t="s">
        <v>1555</v>
      </c>
      <c r="U382" s="52" t="s">
        <v>1555</v>
      </c>
      <c r="V382" s="52" t="s">
        <v>1903</v>
      </c>
      <c r="Z382" s="26" t="s">
        <v>1788</v>
      </c>
      <c r="AE382" s="26" t="s">
        <v>1710</v>
      </c>
      <c r="AF382" s="152" t="s">
        <v>666</v>
      </c>
      <c r="AG382" s="26" t="s">
        <v>416</v>
      </c>
      <c r="AH382" s="154" t="s">
        <v>267</v>
      </c>
      <c r="AO382" s="26" t="s">
        <v>403</v>
      </c>
      <c r="AP382" s="26" t="s">
        <v>403</v>
      </c>
      <c r="AQ382" s="26" t="s">
        <v>212</v>
      </c>
      <c r="AR382" s="26" t="s">
        <v>192</v>
      </c>
      <c r="AS382" s="26">
        <v>4</v>
      </c>
      <c r="AT382" s="26">
        <v>4</v>
      </c>
      <c r="AU382" s="26" t="s">
        <v>169</v>
      </c>
      <c r="AY382" s="63"/>
      <c r="BD382" s="26">
        <v>95.83</v>
      </c>
      <c r="BE382" s="26">
        <v>95.83</v>
      </c>
      <c r="EJ382" s="12"/>
      <c r="EL382" s="15"/>
      <c r="FT382" s="26">
        <v>23</v>
      </c>
    </row>
    <row r="383" spans="1:176" s="26" customFormat="1" x14ac:dyDescent="0.25">
      <c r="A383" s="26">
        <v>23</v>
      </c>
      <c r="B383" s="26" t="s">
        <v>400</v>
      </c>
      <c r="C383" s="26" t="s">
        <v>401</v>
      </c>
      <c r="D383" s="26">
        <v>2016</v>
      </c>
      <c r="E383" s="26">
        <v>2009</v>
      </c>
      <c r="F383" s="26" t="s">
        <v>423</v>
      </c>
      <c r="G383" s="26" t="s">
        <v>404</v>
      </c>
      <c r="H383" s="26">
        <v>38.82</v>
      </c>
      <c r="I383" s="26">
        <v>-76.75</v>
      </c>
      <c r="J383" s="26">
        <v>5.5</v>
      </c>
      <c r="P383" s="52">
        <v>1</v>
      </c>
      <c r="Q383" s="52"/>
      <c r="R383" s="52" t="s">
        <v>427</v>
      </c>
      <c r="S383" s="52" t="s">
        <v>1555</v>
      </c>
      <c r="T383" s="52" t="s">
        <v>1555</v>
      </c>
      <c r="U383" s="52" t="s">
        <v>1555</v>
      </c>
      <c r="V383" s="52" t="s">
        <v>1903</v>
      </c>
      <c r="Z383" s="26" t="s">
        <v>1788</v>
      </c>
      <c r="AE383" s="26" t="s">
        <v>1710</v>
      </c>
      <c r="AF383" s="152" t="s">
        <v>666</v>
      </c>
      <c r="AG383" s="26" t="s">
        <v>416</v>
      </c>
      <c r="AH383" s="154" t="s">
        <v>267</v>
      </c>
      <c r="AO383" s="26" t="s">
        <v>403</v>
      </c>
      <c r="AP383" s="26" t="s">
        <v>403</v>
      </c>
      <c r="AQ383" s="26" t="s">
        <v>212</v>
      </c>
      <c r="AR383" s="26" t="s">
        <v>192</v>
      </c>
      <c r="AS383" s="26">
        <v>4</v>
      </c>
      <c r="AT383" s="26">
        <v>4</v>
      </c>
      <c r="AU383" s="26" t="s">
        <v>169</v>
      </c>
      <c r="AY383" s="63"/>
      <c r="BD383" s="26">
        <v>131.72</v>
      </c>
      <c r="BE383" s="26">
        <v>115.8</v>
      </c>
      <c r="EJ383" s="12"/>
      <c r="EL383" s="15"/>
      <c r="FT383" s="26">
        <v>23</v>
      </c>
    </row>
    <row r="384" spans="1:176" s="26" customFormat="1" x14ac:dyDescent="0.25">
      <c r="A384" s="26">
        <v>23</v>
      </c>
      <c r="B384" s="26" t="s">
        <v>400</v>
      </c>
      <c r="C384" s="26" t="s">
        <v>401</v>
      </c>
      <c r="D384" s="26">
        <v>2016</v>
      </c>
      <c r="E384" s="26">
        <v>2009</v>
      </c>
      <c r="F384" s="26" t="s">
        <v>423</v>
      </c>
      <c r="G384" s="26" t="s">
        <v>404</v>
      </c>
      <c r="H384" s="26">
        <v>38.82</v>
      </c>
      <c r="I384" s="26">
        <v>-76.75</v>
      </c>
      <c r="J384" s="26">
        <v>5.5</v>
      </c>
      <c r="P384" s="52">
        <v>1</v>
      </c>
      <c r="Q384" s="52"/>
      <c r="R384" s="52" t="s">
        <v>428</v>
      </c>
      <c r="S384" s="52" t="s">
        <v>1555</v>
      </c>
      <c r="T384" s="52" t="s">
        <v>1555</v>
      </c>
      <c r="U384" s="52" t="s">
        <v>1555</v>
      </c>
      <c r="V384" s="52" t="s">
        <v>1903</v>
      </c>
      <c r="Z384" s="26" t="s">
        <v>1788</v>
      </c>
      <c r="AE384" s="26" t="s">
        <v>1710</v>
      </c>
      <c r="AF384" s="152" t="s">
        <v>666</v>
      </c>
      <c r="AG384" s="26" t="s">
        <v>416</v>
      </c>
      <c r="AH384" s="154" t="s">
        <v>267</v>
      </c>
      <c r="AO384" s="26" t="s">
        <v>403</v>
      </c>
      <c r="AP384" s="26" t="s">
        <v>403</v>
      </c>
      <c r="AQ384" s="26" t="s">
        <v>212</v>
      </c>
      <c r="AR384" s="26" t="s">
        <v>192</v>
      </c>
      <c r="AS384" s="26">
        <v>4</v>
      </c>
      <c r="AT384" s="26">
        <v>4</v>
      </c>
      <c r="AU384" s="26" t="s">
        <v>169</v>
      </c>
      <c r="AY384" s="63"/>
      <c r="BD384" s="26">
        <v>136.16999999999999</v>
      </c>
      <c r="BE384" s="26">
        <v>142.71</v>
      </c>
      <c r="EJ384" s="12"/>
      <c r="EL384" s="15"/>
      <c r="FT384" s="26">
        <v>23</v>
      </c>
    </row>
    <row r="385" spans="1:176" s="26" customFormat="1" x14ac:dyDescent="0.25">
      <c r="A385" s="26">
        <v>23</v>
      </c>
      <c r="B385" s="26" t="s">
        <v>400</v>
      </c>
      <c r="C385" s="26" t="s">
        <v>401</v>
      </c>
      <c r="D385" s="26">
        <v>2016</v>
      </c>
      <c r="E385" s="26">
        <v>2009</v>
      </c>
      <c r="F385" s="26" t="s">
        <v>423</v>
      </c>
      <c r="G385" s="26" t="s">
        <v>404</v>
      </c>
      <c r="H385" s="26">
        <v>38.82</v>
      </c>
      <c r="I385" s="26">
        <v>-76.75</v>
      </c>
      <c r="J385" s="26">
        <v>5.5</v>
      </c>
      <c r="P385" s="52">
        <v>1</v>
      </c>
      <c r="Q385" s="52"/>
      <c r="R385" s="52" t="s">
        <v>429</v>
      </c>
      <c r="S385" s="52" t="s">
        <v>1555</v>
      </c>
      <c r="T385" s="52" t="s">
        <v>1555</v>
      </c>
      <c r="U385" s="52" t="s">
        <v>1555</v>
      </c>
      <c r="V385" s="52" t="s">
        <v>1903</v>
      </c>
      <c r="Z385" s="26" t="s">
        <v>1788</v>
      </c>
      <c r="AE385" s="26" t="s">
        <v>1710</v>
      </c>
      <c r="AF385" s="152" t="s">
        <v>666</v>
      </c>
      <c r="AG385" s="26" t="s">
        <v>416</v>
      </c>
      <c r="AH385" s="154" t="s">
        <v>267</v>
      </c>
      <c r="AO385" s="26" t="s">
        <v>403</v>
      </c>
      <c r="AP385" s="26" t="s">
        <v>403</v>
      </c>
      <c r="AQ385" s="26" t="s">
        <v>212</v>
      </c>
      <c r="AR385" s="26" t="s">
        <v>192</v>
      </c>
      <c r="AS385" s="26">
        <v>4</v>
      </c>
      <c r="AT385" s="26">
        <v>4</v>
      </c>
      <c r="AU385" s="26" t="s">
        <v>169</v>
      </c>
      <c r="AY385" s="63"/>
      <c r="BD385" s="26">
        <v>156.55000000000001</v>
      </c>
      <c r="BE385" s="26">
        <v>143.08000000000001</v>
      </c>
      <c r="EJ385" s="12"/>
      <c r="EL385" s="15"/>
      <c r="FT385" s="26">
        <v>23</v>
      </c>
    </row>
    <row r="386" spans="1:176" s="26" customFormat="1" x14ac:dyDescent="0.25">
      <c r="A386" s="26">
        <v>23</v>
      </c>
      <c r="B386" s="26" t="s">
        <v>400</v>
      </c>
      <c r="C386" s="26" t="s">
        <v>401</v>
      </c>
      <c r="D386" s="26">
        <v>2016</v>
      </c>
      <c r="E386" s="26">
        <v>2009</v>
      </c>
      <c r="F386" s="26" t="s">
        <v>423</v>
      </c>
      <c r="G386" s="26" t="s">
        <v>404</v>
      </c>
      <c r="H386" s="26">
        <v>38.82</v>
      </c>
      <c r="I386" s="26">
        <v>-76.75</v>
      </c>
      <c r="J386" s="26">
        <v>5.5</v>
      </c>
      <c r="P386" s="52">
        <v>1</v>
      </c>
      <c r="Q386" s="52"/>
      <c r="R386" s="52" t="s">
        <v>430</v>
      </c>
      <c r="S386" s="52" t="s">
        <v>1555</v>
      </c>
      <c r="T386" s="52" t="s">
        <v>1555</v>
      </c>
      <c r="U386" s="52" t="s">
        <v>1555</v>
      </c>
      <c r="V386" s="52" t="s">
        <v>1903</v>
      </c>
      <c r="Z386" s="26" t="s">
        <v>1788</v>
      </c>
      <c r="AE386" s="26" t="s">
        <v>1710</v>
      </c>
      <c r="AF386" s="152" t="s">
        <v>666</v>
      </c>
      <c r="AG386" s="26" t="s">
        <v>416</v>
      </c>
      <c r="AH386" s="154" t="s">
        <v>267</v>
      </c>
      <c r="AO386" s="26" t="s">
        <v>403</v>
      </c>
      <c r="AP386" s="26" t="s">
        <v>403</v>
      </c>
      <c r="AQ386" s="26" t="s">
        <v>212</v>
      </c>
      <c r="AR386" s="26" t="s">
        <v>192</v>
      </c>
      <c r="AS386" s="26">
        <v>4</v>
      </c>
      <c r="AT386" s="26">
        <v>4</v>
      </c>
      <c r="AU386" s="26" t="s">
        <v>169</v>
      </c>
      <c r="AY386" s="63"/>
      <c r="BD386" s="26">
        <v>213.67</v>
      </c>
      <c r="BE386" s="26">
        <v>208.77</v>
      </c>
      <c r="EJ386" s="12"/>
      <c r="EL386" s="15"/>
      <c r="FT386" s="26">
        <v>23</v>
      </c>
    </row>
    <row r="387" spans="1:176" s="26" customFormat="1" x14ac:dyDescent="0.25">
      <c r="A387" s="26">
        <v>23</v>
      </c>
      <c r="B387" s="26" t="s">
        <v>400</v>
      </c>
      <c r="C387" s="26" t="s">
        <v>401</v>
      </c>
      <c r="D387" s="26">
        <v>2016</v>
      </c>
      <c r="E387" s="26">
        <v>2009</v>
      </c>
      <c r="F387" s="26" t="s">
        <v>423</v>
      </c>
      <c r="G387" s="26" t="s">
        <v>404</v>
      </c>
      <c r="H387" s="26">
        <v>38.82</v>
      </c>
      <c r="I387" s="26">
        <v>-76.75</v>
      </c>
      <c r="J387" s="26">
        <v>5.5</v>
      </c>
      <c r="P387" s="52">
        <v>1</v>
      </c>
      <c r="Q387" s="52"/>
      <c r="R387" s="52" t="s">
        <v>431</v>
      </c>
      <c r="S387" s="52" t="s">
        <v>1555</v>
      </c>
      <c r="T387" s="52" t="s">
        <v>1555</v>
      </c>
      <c r="U387" s="52" t="s">
        <v>1555</v>
      </c>
      <c r="V387" s="52" t="s">
        <v>1903</v>
      </c>
      <c r="Z387" s="26" t="s">
        <v>1788</v>
      </c>
      <c r="AE387" s="26" t="s">
        <v>1710</v>
      </c>
      <c r="AF387" s="152" t="s">
        <v>666</v>
      </c>
      <c r="AG387" s="26" t="s">
        <v>416</v>
      </c>
      <c r="AH387" s="154" t="s">
        <v>267</v>
      </c>
      <c r="AO387" s="26" t="s">
        <v>403</v>
      </c>
      <c r="AP387" s="26" t="s">
        <v>403</v>
      </c>
      <c r="AQ387" s="26" t="s">
        <v>212</v>
      </c>
      <c r="AR387" s="26" t="s">
        <v>192</v>
      </c>
      <c r="AS387" s="26">
        <v>4</v>
      </c>
      <c r="AT387" s="26">
        <v>4</v>
      </c>
      <c r="AU387" s="26" t="s">
        <v>169</v>
      </c>
      <c r="AY387" s="63"/>
      <c r="BD387" s="26">
        <v>147.91999999999999</v>
      </c>
      <c r="BE387" s="26">
        <v>125.47</v>
      </c>
      <c r="EJ387" s="12"/>
      <c r="EL387" s="15"/>
      <c r="FT387" s="26">
        <v>23</v>
      </c>
    </row>
    <row r="388" spans="1:176" s="26" customFormat="1" x14ac:dyDescent="0.25">
      <c r="A388" s="26">
        <v>23</v>
      </c>
      <c r="B388" s="26" t="s">
        <v>400</v>
      </c>
      <c r="C388" s="26" t="s">
        <v>401</v>
      </c>
      <c r="D388" s="26">
        <v>2016</v>
      </c>
      <c r="E388" s="26">
        <v>2009</v>
      </c>
      <c r="F388" s="26" t="s">
        <v>423</v>
      </c>
      <c r="G388" s="26" t="s">
        <v>404</v>
      </c>
      <c r="H388" s="26">
        <v>38.82</v>
      </c>
      <c r="I388" s="26">
        <v>-76.75</v>
      </c>
      <c r="J388" s="26">
        <v>5.5</v>
      </c>
      <c r="P388" s="52">
        <v>1</v>
      </c>
      <c r="Q388" s="52"/>
      <c r="R388" s="52" t="s">
        <v>432</v>
      </c>
      <c r="S388" s="52" t="s">
        <v>1555</v>
      </c>
      <c r="T388" s="52" t="s">
        <v>1555</v>
      </c>
      <c r="U388" s="52" t="s">
        <v>1555</v>
      </c>
      <c r="V388" s="52" t="s">
        <v>1903</v>
      </c>
      <c r="Z388" s="26" t="s">
        <v>1788</v>
      </c>
      <c r="AE388" s="26" t="s">
        <v>1710</v>
      </c>
      <c r="AF388" s="152" t="s">
        <v>666</v>
      </c>
      <c r="AG388" s="26" t="s">
        <v>416</v>
      </c>
      <c r="AH388" s="154" t="s">
        <v>267</v>
      </c>
      <c r="AO388" s="26" t="s">
        <v>403</v>
      </c>
      <c r="AP388" s="26" t="s">
        <v>403</v>
      </c>
      <c r="AQ388" s="26" t="s">
        <v>212</v>
      </c>
      <c r="AR388" s="26" t="s">
        <v>192</v>
      </c>
      <c r="AS388" s="26">
        <v>4</v>
      </c>
      <c r="AT388" s="26">
        <v>4</v>
      </c>
      <c r="AU388" s="26" t="s">
        <v>169</v>
      </c>
      <c r="AY388" s="63"/>
      <c r="BD388" s="26">
        <v>176.87</v>
      </c>
      <c r="BE388" s="26">
        <v>107.89</v>
      </c>
      <c r="EJ388" s="12"/>
      <c r="EL388" s="15"/>
      <c r="FT388" s="26">
        <v>23</v>
      </c>
    </row>
    <row r="389" spans="1:176" s="26" customFormat="1" x14ac:dyDescent="0.25">
      <c r="A389" s="26">
        <v>23</v>
      </c>
      <c r="B389" s="26" t="s">
        <v>400</v>
      </c>
      <c r="C389" s="26" t="s">
        <v>401</v>
      </c>
      <c r="D389" s="26">
        <v>2016</v>
      </c>
      <c r="E389" s="26">
        <v>2009</v>
      </c>
      <c r="F389" s="26" t="s">
        <v>423</v>
      </c>
      <c r="G389" s="26" t="s">
        <v>404</v>
      </c>
      <c r="H389" s="26">
        <v>38.82</v>
      </c>
      <c r="I389" s="26">
        <v>-76.75</v>
      </c>
      <c r="J389" s="26">
        <v>5.5</v>
      </c>
      <c r="P389" s="52">
        <v>1</v>
      </c>
      <c r="Q389" s="52"/>
      <c r="R389" s="52" t="s">
        <v>433</v>
      </c>
      <c r="S389" s="52" t="s">
        <v>1555</v>
      </c>
      <c r="T389" s="52" t="s">
        <v>1555</v>
      </c>
      <c r="U389" s="52" t="s">
        <v>1555</v>
      </c>
      <c r="V389" s="52" t="s">
        <v>1903</v>
      </c>
      <c r="Z389" s="26" t="s">
        <v>1788</v>
      </c>
      <c r="AE389" s="26" t="s">
        <v>1710</v>
      </c>
      <c r="AF389" s="152" t="s">
        <v>666</v>
      </c>
      <c r="AG389" s="26" t="s">
        <v>416</v>
      </c>
      <c r="AH389" s="154" t="s">
        <v>267</v>
      </c>
      <c r="AO389" s="26" t="s">
        <v>403</v>
      </c>
      <c r="AP389" s="26" t="s">
        <v>403</v>
      </c>
      <c r="AQ389" s="26" t="s">
        <v>212</v>
      </c>
      <c r="AR389" s="26" t="s">
        <v>192</v>
      </c>
      <c r="AS389" s="26">
        <v>4</v>
      </c>
      <c r="AT389" s="26">
        <v>4</v>
      </c>
      <c r="AU389" s="26" t="s">
        <v>169</v>
      </c>
      <c r="AY389" s="63"/>
      <c r="BD389" s="26">
        <v>205.41</v>
      </c>
      <c r="BE389" s="26">
        <v>123.37</v>
      </c>
      <c r="EJ389" s="12"/>
      <c r="EL389" s="15"/>
      <c r="FT389" s="26">
        <v>23</v>
      </c>
    </row>
    <row r="390" spans="1:176" s="26" customFormat="1" x14ac:dyDescent="0.25">
      <c r="A390" s="26">
        <v>23</v>
      </c>
      <c r="B390" s="26" t="s">
        <v>400</v>
      </c>
      <c r="C390" s="26" t="s">
        <v>401</v>
      </c>
      <c r="D390" s="26">
        <v>2016</v>
      </c>
      <c r="E390" s="26">
        <v>2009</v>
      </c>
      <c r="F390" s="26" t="s">
        <v>423</v>
      </c>
      <c r="G390" s="26" t="s">
        <v>404</v>
      </c>
      <c r="H390" s="26">
        <v>38.82</v>
      </c>
      <c r="I390" s="26">
        <v>-76.75</v>
      </c>
      <c r="J390" s="26">
        <v>5.5</v>
      </c>
      <c r="P390" s="52">
        <v>1</v>
      </c>
      <c r="Q390" s="52"/>
      <c r="R390" s="52" t="s">
        <v>434</v>
      </c>
      <c r="S390" s="52" t="s">
        <v>1555</v>
      </c>
      <c r="T390" s="52" t="s">
        <v>1555</v>
      </c>
      <c r="U390" s="52" t="s">
        <v>1555</v>
      </c>
      <c r="V390" s="52" t="s">
        <v>1903</v>
      </c>
      <c r="Z390" s="26" t="s">
        <v>1788</v>
      </c>
      <c r="AE390" s="26" t="s">
        <v>1710</v>
      </c>
      <c r="AF390" s="152" t="s">
        <v>666</v>
      </c>
      <c r="AG390" s="26" t="s">
        <v>416</v>
      </c>
      <c r="AH390" s="154" t="s">
        <v>267</v>
      </c>
      <c r="AO390" s="26" t="s">
        <v>403</v>
      </c>
      <c r="AP390" s="26" t="s">
        <v>403</v>
      </c>
      <c r="AQ390" s="26" t="s">
        <v>212</v>
      </c>
      <c r="AR390" s="26" t="s">
        <v>192</v>
      </c>
      <c r="AS390" s="26">
        <v>4</v>
      </c>
      <c r="AT390" s="26">
        <v>4</v>
      </c>
      <c r="AU390" s="26" t="s">
        <v>169</v>
      </c>
      <c r="AY390" s="63"/>
      <c r="BD390" s="26">
        <v>184.57</v>
      </c>
      <c r="BE390" s="26">
        <v>143.34</v>
      </c>
      <c r="EJ390" s="12"/>
      <c r="EL390" s="15"/>
      <c r="FT390" s="26">
        <v>23</v>
      </c>
    </row>
    <row r="391" spans="1:176" s="26" customFormat="1" x14ac:dyDescent="0.25">
      <c r="A391" s="26">
        <v>23</v>
      </c>
      <c r="B391" s="26" t="s">
        <v>400</v>
      </c>
      <c r="C391" s="26" t="s">
        <v>401</v>
      </c>
      <c r="D391" s="26">
        <v>2016</v>
      </c>
      <c r="E391" s="26">
        <v>2009</v>
      </c>
      <c r="F391" s="26" t="s">
        <v>423</v>
      </c>
      <c r="G391" s="26" t="s">
        <v>404</v>
      </c>
      <c r="H391" s="26">
        <v>38.82</v>
      </c>
      <c r="I391" s="26">
        <v>-76.75</v>
      </c>
      <c r="J391" s="26">
        <v>5.5</v>
      </c>
      <c r="P391" s="52">
        <v>1</v>
      </c>
      <c r="Q391" s="52"/>
      <c r="R391" s="52" t="s">
        <v>436</v>
      </c>
      <c r="S391" s="52" t="s">
        <v>1555</v>
      </c>
      <c r="T391" s="52" t="s">
        <v>1555</v>
      </c>
      <c r="U391" s="52" t="s">
        <v>1555</v>
      </c>
      <c r="V391" s="52" t="s">
        <v>1903</v>
      </c>
      <c r="Z391" s="26" t="s">
        <v>1788</v>
      </c>
      <c r="AE391" s="26" t="s">
        <v>1710</v>
      </c>
      <c r="AF391" s="152" t="s">
        <v>666</v>
      </c>
      <c r="AG391" s="26" t="s">
        <v>416</v>
      </c>
      <c r="AH391" s="154" t="s">
        <v>267</v>
      </c>
      <c r="AO391" s="26" t="s">
        <v>403</v>
      </c>
      <c r="AP391" s="26" t="s">
        <v>403</v>
      </c>
      <c r="AQ391" s="26" t="s">
        <v>212</v>
      </c>
      <c r="AR391" s="26" t="s">
        <v>192</v>
      </c>
      <c r="AS391" s="26">
        <v>4</v>
      </c>
      <c r="AT391" s="26">
        <v>4</v>
      </c>
      <c r="AU391" s="26" t="s">
        <v>169</v>
      </c>
      <c r="AY391" s="63"/>
      <c r="BD391" s="26">
        <v>125.35</v>
      </c>
      <c r="BE391" s="26">
        <v>115.56</v>
      </c>
      <c r="EJ391" s="12"/>
      <c r="EL391" s="15"/>
      <c r="FT391" s="26">
        <v>23</v>
      </c>
    </row>
    <row r="392" spans="1:176" s="42" customFormat="1" x14ac:dyDescent="0.25">
      <c r="A392" s="42">
        <v>23</v>
      </c>
      <c r="B392" s="42" t="s">
        <v>400</v>
      </c>
      <c r="C392" s="42" t="s">
        <v>401</v>
      </c>
      <c r="D392" s="42">
        <v>2016</v>
      </c>
      <c r="E392" s="42">
        <v>2010</v>
      </c>
      <c r="F392" s="42" t="s">
        <v>423</v>
      </c>
      <c r="G392" s="42" t="s">
        <v>405</v>
      </c>
      <c r="H392" s="42">
        <v>38.92</v>
      </c>
      <c r="I392" s="42">
        <v>-76.150000000000006</v>
      </c>
      <c r="J392" s="42">
        <v>4.8</v>
      </c>
      <c r="P392" s="59">
        <v>2</v>
      </c>
      <c r="Q392" s="59"/>
      <c r="R392" s="59" t="s">
        <v>426</v>
      </c>
      <c r="S392" s="59" t="s">
        <v>1555</v>
      </c>
      <c r="T392" s="59" t="s">
        <v>1555</v>
      </c>
      <c r="U392" s="59" t="s">
        <v>1555</v>
      </c>
      <c r="V392" s="59" t="s">
        <v>1903</v>
      </c>
      <c r="Z392" s="42" t="s">
        <v>1788</v>
      </c>
      <c r="AE392" s="42" t="s">
        <v>1710</v>
      </c>
      <c r="AF392" s="152" t="s">
        <v>666</v>
      </c>
      <c r="AG392" s="42" t="s">
        <v>416</v>
      </c>
      <c r="AH392" s="154" t="s">
        <v>267</v>
      </c>
      <c r="AO392" s="42" t="s">
        <v>403</v>
      </c>
      <c r="AP392" s="42" t="s">
        <v>403</v>
      </c>
      <c r="AQ392" s="42" t="s">
        <v>212</v>
      </c>
      <c r="AR392" s="42" t="s">
        <v>192</v>
      </c>
      <c r="AS392" s="42">
        <v>4</v>
      </c>
      <c r="AT392" s="42">
        <v>4</v>
      </c>
      <c r="AU392" s="42" t="s">
        <v>169</v>
      </c>
      <c r="AY392" s="63"/>
      <c r="BD392" s="42">
        <v>143.54</v>
      </c>
      <c r="BE392" s="42">
        <v>111.54</v>
      </c>
      <c r="EJ392" s="12"/>
      <c r="EL392" s="15"/>
      <c r="FT392" s="42">
        <v>23</v>
      </c>
    </row>
    <row r="393" spans="1:176" s="42" customFormat="1" x14ac:dyDescent="0.25">
      <c r="A393" s="42">
        <v>23</v>
      </c>
      <c r="B393" s="42" t="s">
        <v>400</v>
      </c>
      <c r="C393" s="42" t="s">
        <v>401</v>
      </c>
      <c r="D393" s="42">
        <v>2016</v>
      </c>
      <c r="E393" s="42">
        <v>2010</v>
      </c>
      <c r="F393" s="42" t="s">
        <v>423</v>
      </c>
      <c r="G393" s="42" t="s">
        <v>405</v>
      </c>
      <c r="H393" s="42">
        <v>38.92</v>
      </c>
      <c r="I393" s="42">
        <v>-76.150000000000006</v>
      </c>
      <c r="J393" s="42">
        <v>4.8</v>
      </c>
      <c r="P393" s="59">
        <v>2</v>
      </c>
      <c r="Q393" s="59"/>
      <c r="R393" s="59" t="s">
        <v>437</v>
      </c>
      <c r="S393" s="59" t="s">
        <v>1555</v>
      </c>
      <c r="T393" s="59" t="s">
        <v>1555</v>
      </c>
      <c r="U393" s="59" t="s">
        <v>1555</v>
      </c>
      <c r="V393" s="59" t="s">
        <v>1903</v>
      </c>
      <c r="Z393" s="42" t="s">
        <v>1788</v>
      </c>
      <c r="AE393" s="42" t="s">
        <v>1710</v>
      </c>
      <c r="AF393" s="152" t="s">
        <v>666</v>
      </c>
      <c r="AG393" s="42" t="s">
        <v>416</v>
      </c>
      <c r="AH393" s="154" t="s">
        <v>267</v>
      </c>
      <c r="AO393" s="42" t="s">
        <v>403</v>
      </c>
      <c r="AP393" s="42" t="s">
        <v>403</v>
      </c>
      <c r="AQ393" s="42" t="s">
        <v>212</v>
      </c>
      <c r="AR393" s="42" t="s">
        <v>192</v>
      </c>
      <c r="AS393" s="42">
        <v>4</v>
      </c>
      <c r="AT393" s="42">
        <v>4</v>
      </c>
      <c r="AU393" s="42" t="s">
        <v>169</v>
      </c>
      <c r="AY393" s="63"/>
      <c r="BD393" s="42">
        <v>199.11</v>
      </c>
      <c r="BE393" s="42">
        <v>128.12</v>
      </c>
      <c r="EJ393" s="12"/>
      <c r="EL393" s="15"/>
      <c r="FT393" s="42">
        <v>23</v>
      </c>
    </row>
    <row r="394" spans="1:176" s="42" customFormat="1" x14ac:dyDescent="0.25">
      <c r="A394" s="42">
        <v>23</v>
      </c>
      <c r="B394" s="42" t="s">
        <v>400</v>
      </c>
      <c r="C394" s="42" t="s">
        <v>401</v>
      </c>
      <c r="D394" s="42">
        <v>2016</v>
      </c>
      <c r="E394" s="42">
        <v>2010</v>
      </c>
      <c r="F394" s="42" t="s">
        <v>423</v>
      </c>
      <c r="G394" s="42" t="s">
        <v>405</v>
      </c>
      <c r="H394" s="42">
        <v>38.92</v>
      </c>
      <c r="I394" s="42">
        <v>-76.150000000000006</v>
      </c>
      <c r="J394" s="42">
        <v>4.8</v>
      </c>
      <c r="P394" s="59">
        <v>2</v>
      </c>
      <c r="Q394" s="59"/>
      <c r="R394" s="59" t="s">
        <v>438</v>
      </c>
      <c r="S394" s="59" t="s">
        <v>1555</v>
      </c>
      <c r="T394" s="59" t="s">
        <v>1555</v>
      </c>
      <c r="U394" s="59" t="s">
        <v>1555</v>
      </c>
      <c r="V394" s="59" t="s">
        <v>1903</v>
      </c>
      <c r="Z394" s="42" t="s">
        <v>1788</v>
      </c>
      <c r="AE394" s="42" t="s">
        <v>1710</v>
      </c>
      <c r="AF394" s="152" t="s">
        <v>666</v>
      </c>
      <c r="AG394" s="42" t="s">
        <v>416</v>
      </c>
      <c r="AH394" s="154" t="s">
        <v>267</v>
      </c>
      <c r="AO394" s="42" t="s">
        <v>403</v>
      </c>
      <c r="AP394" s="42" t="s">
        <v>403</v>
      </c>
      <c r="AQ394" s="42" t="s">
        <v>212</v>
      </c>
      <c r="AR394" s="42" t="s">
        <v>192</v>
      </c>
      <c r="AS394" s="42">
        <v>4</v>
      </c>
      <c r="AT394" s="42">
        <v>4</v>
      </c>
      <c r="AU394" s="42" t="s">
        <v>169</v>
      </c>
      <c r="AY394" s="63"/>
      <c r="BD394" s="42">
        <v>147.15</v>
      </c>
      <c r="BE394" s="42">
        <v>135.15</v>
      </c>
      <c r="EJ394" s="12"/>
      <c r="EL394" s="15"/>
      <c r="FT394" s="42">
        <v>23</v>
      </c>
    </row>
    <row r="395" spans="1:176" s="42" customFormat="1" x14ac:dyDescent="0.25">
      <c r="A395" s="42">
        <v>23</v>
      </c>
      <c r="B395" s="42" t="s">
        <v>400</v>
      </c>
      <c r="C395" s="42" t="s">
        <v>401</v>
      </c>
      <c r="D395" s="42">
        <v>2016</v>
      </c>
      <c r="E395" s="42">
        <v>2010</v>
      </c>
      <c r="F395" s="42" t="s">
        <v>423</v>
      </c>
      <c r="G395" s="42" t="s">
        <v>405</v>
      </c>
      <c r="H395" s="42">
        <v>38.92</v>
      </c>
      <c r="I395" s="42">
        <v>-76.150000000000006</v>
      </c>
      <c r="J395" s="42">
        <v>4.8</v>
      </c>
      <c r="P395" s="59">
        <v>2</v>
      </c>
      <c r="Q395" s="59"/>
      <c r="R395" s="59" t="s">
        <v>431</v>
      </c>
      <c r="S395" s="59" t="s">
        <v>1555</v>
      </c>
      <c r="T395" s="59" t="s">
        <v>1555</v>
      </c>
      <c r="U395" s="59" t="s">
        <v>1555</v>
      </c>
      <c r="V395" s="59" t="s">
        <v>1903</v>
      </c>
      <c r="Z395" s="42" t="s">
        <v>1788</v>
      </c>
      <c r="AE395" s="42" t="s">
        <v>1710</v>
      </c>
      <c r="AF395" s="152" t="s">
        <v>666</v>
      </c>
      <c r="AG395" s="42" t="s">
        <v>416</v>
      </c>
      <c r="AH395" s="154" t="s">
        <v>267</v>
      </c>
      <c r="AO395" s="42" t="s">
        <v>403</v>
      </c>
      <c r="AP395" s="42" t="s">
        <v>403</v>
      </c>
      <c r="AQ395" s="42" t="s">
        <v>212</v>
      </c>
      <c r="AR395" s="42" t="s">
        <v>192</v>
      </c>
      <c r="AS395" s="42">
        <v>4</v>
      </c>
      <c r="AT395" s="42">
        <v>4</v>
      </c>
      <c r="AU395" s="42" t="s">
        <v>169</v>
      </c>
      <c r="AY395" s="63"/>
      <c r="BD395" s="42">
        <v>212.21</v>
      </c>
      <c r="BE395" s="42">
        <v>177.71</v>
      </c>
      <c r="EJ395" s="12"/>
      <c r="EL395" s="15"/>
      <c r="FT395" s="42">
        <v>23</v>
      </c>
    </row>
    <row r="396" spans="1:176" s="42" customFormat="1" x14ac:dyDescent="0.25">
      <c r="A396" s="42">
        <v>23</v>
      </c>
      <c r="B396" s="42" t="s">
        <v>400</v>
      </c>
      <c r="C396" s="42" t="s">
        <v>401</v>
      </c>
      <c r="D396" s="42">
        <v>2016</v>
      </c>
      <c r="E396" s="42">
        <v>2010</v>
      </c>
      <c r="F396" s="42" t="s">
        <v>423</v>
      </c>
      <c r="G396" s="42" t="s">
        <v>405</v>
      </c>
      <c r="H396" s="42">
        <v>38.92</v>
      </c>
      <c r="I396" s="42">
        <v>-76.150000000000006</v>
      </c>
      <c r="J396" s="42">
        <v>4.8</v>
      </c>
      <c r="P396" s="59">
        <v>2</v>
      </c>
      <c r="Q396" s="59"/>
      <c r="R396" s="59" t="s">
        <v>432</v>
      </c>
      <c r="S396" s="59" t="s">
        <v>1555</v>
      </c>
      <c r="T396" s="59" t="s">
        <v>1555</v>
      </c>
      <c r="U396" s="59" t="s">
        <v>1555</v>
      </c>
      <c r="V396" s="59" t="s">
        <v>1903</v>
      </c>
      <c r="Z396" s="42" t="s">
        <v>1788</v>
      </c>
      <c r="AE396" s="42" t="s">
        <v>1710</v>
      </c>
      <c r="AF396" s="152" t="s">
        <v>666</v>
      </c>
      <c r="AG396" s="42" t="s">
        <v>416</v>
      </c>
      <c r="AH396" s="154" t="s">
        <v>267</v>
      </c>
      <c r="AO396" s="42" t="s">
        <v>403</v>
      </c>
      <c r="AP396" s="42" t="s">
        <v>403</v>
      </c>
      <c r="AQ396" s="42" t="s">
        <v>212</v>
      </c>
      <c r="AR396" s="42" t="s">
        <v>192</v>
      </c>
      <c r="AS396" s="42">
        <v>4</v>
      </c>
      <c r="AT396" s="42">
        <v>4</v>
      </c>
      <c r="AU396" s="42" t="s">
        <v>169</v>
      </c>
      <c r="AY396" s="63"/>
      <c r="BD396" s="42">
        <v>215.25</v>
      </c>
      <c r="BE396" s="42">
        <v>163.25</v>
      </c>
      <c r="EJ396" s="12"/>
      <c r="EL396" s="15"/>
      <c r="FT396" s="42">
        <v>23</v>
      </c>
    </row>
    <row r="397" spans="1:176" s="42" customFormat="1" x14ac:dyDescent="0.25">
      <c r="A397" s="42">
        <v>23</v>
      </c>
      <c r="B397" s="42" t="s">
        <v>400</v>
      </c>
      <c r="C397" s="42" t="s">
        <v>401</v>
      </c>
      <c r="D397" s="42">
        <v>2016</v>
      </c>
      <c r="E397" s="42">
        <v>2010</v>
      </c>
      <c r="F397" s="42" t="s">
        <v>423</v>
      </c>
      <c r="G397" s="42" t="s">
        <v>405</v>
      </c>
      <c r="H397" s="42">
        <v>38.92</v>
      </c>
      <c r="I397" s="42">
        <v>-76.150000000000006</v>
      </c>
      <c r="J397" s="42">
        <v>4.8</v>
      </c>
      <c r="P397" s="59">
        <v>2</v>
      </c>
      <c r="Q397" s="59"/>
      <c r="R397" s="59" t="s">
        <v>433</v>
      </c>
      <c r="S397" s="59" t="s">
        <v>1555</v>
      </c>
      <c r="T397" s="59" t="s">
        <v>1555</v>
      </c>
      <c r="U397" s="59" t="s">
        <v>1555</v>
      </c>
      <c r="V397" s="59" t="s">
        <v>1903</v>
      </c>
      <c r="Z397" s="42" t="s">
        <v>1788</v>
      </c>
      <c r="AE397" s="42" t="s">
        <v>1710</v>
      </c>
      <c r="AF397" s="152" t="s">
        <v>666</v>
      </c>
      <c r="AG397" s="42" t="s">
        <v>416</v>
      </c>
      <c r="AH397" s="154" t="s">
        <v>267</v>
      </c>
      <c r="AO397" s="42" t="s">
        <v>403</v>
      </c>
      <c r="AP397" s="42" t="s">
        <v>403</v>
      </c>
      <c r="AQ397" s="42" t="s">
        <v>212</v>
      </c>
      <c r="AR397" s="42" t="s">
        <v>192</v>
      </c>
      <c r="AS397" s="42">
        <v>4</v>
      </c>
      <c r="AT397" s="42">
        <v>4</v>
      </c>
      <c r="AU397" s="42" t="s">
        <v>169</v>
      </c>
      <c r="AY397" s="63"/>
      <c r="BD397" s="42">
        <v>182.28</v>
      </c>
      <c r="BE397" s="42">
        <v>130.79</v>
      </c>
      <c r="EJ397" s="12"/>
      <c r="EL397" s="15"/>
      <c r="FT397" s="42">
        <v>23</v>
      </c>
    </row>
    <row r="398" spans="1:176" s="42" customFormat="1" x14ac:dyDescent="0.25">
      <c r="A398" s="42">
        <v>23</v>
      </c>
      <c r="B398" s="42" t="s">
        <v>400</v>
      </c>
      <c r="C398" s="42" t="s">
        <v>401</v>
      </c>
      <c r="D398" s="42">
        <v>2016</v>
      </c>
      <c r="E398" s="42">
        <v>2010</v>
      </c>
      <c r="F398" s="42" t="s">
        <v>423</v>
      </c>
      <c r="G398" s="42" t="s">
        <v>405</v>
      </c>
      <c r="H398" s="42">
        <v>38.92</v>
      </c>
      <c r="I398" s="42">
        <v>-76.150000000000006</v>
      </c>
      <c r="J398" s="42">
        <v>4.8</v>
      </c>
      <c r="P398" s="59">
        <v>2</v>
      </c>
      <c r="Q398" s="59"/>
      <c r="R398" s="59" t="s">
        <v>436</v>
      </c>
      <c r="S398" s="59" t="s">
        <v>1555</v>
      </c>
      <c r="T398" s="59" t="s">
        <v>1555</v>
      </c>
      <c r="U398" s="59" t="s">
        <v>1555</v>
      </c>
      <c r="V398" s="59" t="s">
        <v>1903</v>
      </c>
      <c r="Z398" s="42" t="s">
        <v>1788</v>
      </c>
      <c r="AE398" s="42" t="s">
        <v>1710</v>
      </c>
      <c r="AF398" s="152" t="s">
        <v>666</v>
      </c>
      <c r="AG398" s="42" t="s">
        <v>416</v>
      </c>
      <c r="AH398" s="154" t="s">
        <v>267</v>
      </c>
      <c r="AO398" s="42" t="s">
        <v>403</v>
      </c>
      <c r="AP398" s="42" t="s">
        <v>403</v>
      </c>
      <c r="AQ398" s="42" t="s">
        <v>212</v>
      </c>
      <c r="AR398" s="42" t="s">
        <v>192</v>
      </c>
      <c r="AS398" s="42">
        <v>4</v>
      </c>
      <c r="AT398" s="42">
        <v>4</v>
      </c>
      <c r="AU398" s="42" t="s">
        <v>169</v>
      </c>
      <c r="AY398" s="63"/>
      <c r="BD398" s="42">
        <v>163.34</v>
      </c>
      <c r="BE398" s="42">
        <v>163.34</v>
      </c>
      <c r="EJ398" s="12"/>
      <c r="EL398" s="15"/>
      <c r="FT398" s="42">
        <v>23</v>
      </c>
    </row>
    <row r="399" spans="1:176" s="42" customFormat="1" x14ac:dyDescent="0.25">
      <c r="A399" s="42">
        <v>23</v>
      </c>
      <c r="B399" s="42" t="s">
        <v>400</v>
      </c>
      <c r="C399" s="42" t="s">
        <v>401</v>
      </c>
      <c r="D399" s="42">
        <v>2016</v>
      </c>
      <c r="E399" s="42">
        <v>2010</v>
      </c>
      <c r="F399" s="42" t="s">
        <v>423</v>
      </c>
      <c r="G399" s="42" t="s">
        <v>405</v>
      </c>
      <c r="H399" s="42">
        <v>38.92</v>
      </c>
      <c r="I399" s="42">
        <v>-76.150000000000006</v>
      </c>
      <c r="J399" s="42">
        <v>4.8</v>
      </c>
      <c r="P399" s="59">
        <v>2</v>
      </c>
      <c r="Q399" s="59"/>
      <c r="R399" s="59" t="s">
        <v>440</v>
      </c>
      <c r="S399" s="59" t="s">
        <v>1555</v>
      </c>
      <c r="T399" s="59" t="s">
        <v>1555</v>
      </c>
      <c r="U399" s="59" t="s">
        <v>1555</v>
      </c>
      <c r="V399" s="59" t="s">
        <v>1903</v>
      </c>
      <c r="Z399" s="42" t="s">
        <v>1788</v>
      </c>
      <c r="AE399" s="42" t="s">
        <v>1710</v>
      </c>
      <c r="AF399" s="152" t="s">
        <v>666</v>
      </c>
      <c r="AG399" s="42" t="s">
        <v>416</v>
      </c>
      <c r="AH399" s="154" t="s">
        <v>267</v>
      </c>
      <c r="AO399" s="42" t="s">
        <v>403</v>
      </c>
      <c r="AP399" s="42" t="s">
        <v>403</v>
      </c>
      <c r="AQ399" s="42" t="s">
        <v>212</v>
      </c>
      <c r="AR399" s="42" t="s">
        <v>192</v>
      </c>
      <c r="AS399" s="42">
        <v>4</v>
      </c>
      <c r="AT399" s="42">
        <v>4</v>
      </c>
      <c r="AU399" s="42" t="s">
        <v>169</v>
      </c>
      <c r="AY399" s="63"/>
      <c r="BD399" s="42">
        <v>160.38</v>
      </c>
      <c r="BE399" s="42">
        <v>101.88</v>
      </c>
      <c r="EJ399" s="12"/>
      <c r="EL399" s="15"/>
      <c r="FT399" s="42">
        <v>23</v>
      </c>
    </row>
    <row r="400" spans="1:176" s="42" customFormat="1" x14ac:dyDescent="0.25">
      <c r="A400" s="42">
        <v>23</v>
      </c>
      <c r="B400" s="42" t="s">
        <v>400</v>
      </c>
      <c r="C400" s="42" t="s">
        <v>401</v>
      </c>
      <c r="D400" s="42">
        <v>2016</v>
      </c>
      <c r="E400" s="42">
        <v>2010</v>
      </c>
      <c r="F400" s="42" t="s">
        <v>423</v>
      </c>
      <c r="G400" s="42" t="s">
        <v>405</v>
      </c>
      <c r="H400" s="42">
        <v>38.92</v>
      </c>
      <c r="I400" s="42">
        <v>-76.150000000000006</v>
      </c>
      <c r="J400" s="42">
        <v>4.8</v>
      </c>
      <c r="P400" s="59">
        <v>2</v>
      </c>
      <c r="Q400" s="59"/>
      <c r="R400" s="59" t="s">
        <v>441</v>
      </c>
      <c r="S400" s="59" t="s">
        <v>1555</v>
      </c>
      <c r="T400" s="59" t="s">
        <v>1555</v>
      </c>
      <c r="U400" s="59" t="s">
        <v>1555</v>
      </c>
      <c r="V400" s="59" t="s">
        <v>1903</v>
      </c>
      <c r="Z400" s="42" t="s">
        <v>1788</v>
      </c>
      <c r="AE400" s="42" t="s">
        <v>1710</v>
      </c>
      <c r="AF400" s="152" t="s">
        <v>666</v>
      </c>
      <c r="AG400" s="42" t="s">
        <v>416</v>
      </c>
      <c r="AH400" s="154" t="s">
        <v>267</v>
      </c>
      <c r="AO400" s="42" t="s">
        <v>403</v>
      </c>
      <c r="AP400" s="42" t="s">
        <v>403</v>
      </c>
      <c r="AQ400" s="42" t="s">
        <v>212</v>
      </c>
      <c r="AR400" s="42" t="s">
        <v>192</v>
      </c>
      <c r="AS400" s="42">
        <v>4</v>
      </c>
      <c r="AT400" s="42">
        <v>4</v>
      </c>
      <c r="AU400" s="42" t="s">
        <v>169</v>
      </c>
      <c r="AY400" s="63"/>
      <c r="BD400" s="42">
        <v>160.44</v>
      </c>
      <c r="BE400" s="42">
        <v>95.94</v>
      </c>
      <c r="EJ400" s="12"/>
      <c r="EL400" s="15"/>
      <c r="FT400" s="42">
        <v>23</v>
      </c>
    </row>
    <row r="401" spans="1:176" s="26" customFormat="1" x14ac:dyDescent="0.25">
      <c r="A401" s="26">
        <v>23</v>
      </c>
      <c r="B401" s="26" t="s">
        <v>400</v>
      </c>
      <c r="C401" s="26" t="s">
        <v>401</v>
      </c>
      <c r="D401" s="26">
        <v>2016</v>
      </c>
      <c r="E401" s="26">
        <v>2010</v>
      </c>
      <c r="F401" s="26" t="s">
        <v>423</v>
      </c>
      <c r="G401" s="26" t="s">
        <v>404</v>
      </c>
      <c r="H401" s="26">
        <v>38.82</v>
      </c>
      <c r="I401" s="26">
        <v>-76.75</v>
      </c>
      <c r="J401" s="26">
        <v>5.5</v>
      </c>
      <c r="P401" s="52">
        <v>2</v>
      </c>
      <c r="Q401" s="52"/>
      <c r="R401" s="52" t="s">
        <v>442</v>
      </c>
      <c r="S401" s="52" t="s">
        <v>1555</v>
      </c>
      <c r="T401" s="52" t="s">
        <v>1555</v>
      </c>
      <c r="U401" s="52" t="s">
        <v>1555</v>
      </c>
      <c r="V401" s="52" t="s">
        <v>1903</v>
      </c>
      <c r="Z401" s="26" t="s">
        <v>1788</v>
      </c>
      <c r="AE401" s="26" t="s">
        <v>1710</v>
      </c>
      <c r="AF401" s="152" t="s">
        <v>666</v>
      </c>
      <c r="AG401" s="26" t="s">
        <v>416</v>
      </c>
      <c r="AH401" s="154" t="s">
        <v>267</v>
      </c>
      <c r="AO401" s="26" t="s">
        <v>403</v>
      </c>
      <c r="AP401" s="26" t="s">
        <v>403</v>
      </c>
      <c r="AQ401" s="26" t="s">
        <v>212</v>
      </c>
      <c r="AR401" s="26" t="s">
        <v>192</v>
      </c>
      <c r="AS401" s="26">
        <v>4</v>
      </c>
      <c r="AT401" s="26">
        <v>4</v>
      </c>
      <c r="AU401" s="26" t="s">
        <v>169</v>
      </c>
      <c r="AY401" s="63"/>
      <c r="BD401" s="26">
        <v>129.25</v>
      </c>
      <c r="BE401" s="26">
        <v>1</v>
      </c>
      <c r="EJ401" s="12"/>
      <c r="EL401" s="15"/>
      <c r="FT401" s="26">
        <v>23</v>
      </c>
    </row>
    <row r="402" spans="1:176" s="26" customFormat="1" x14ac:dyDescent="0.25">
      <c r="A402" s="26">
        <v>23</v>
      </c>
      <c r="B402" s="26" t="s">
        <v>400</v>
      </c>
      <c r="C402" s="26" t="s">
        <v>401</v>
      </c>
      <c r="D402" s="26">
        <v>2016</v>
      </c>
      <c r="E402" s="26">
        <v>2010</v>
      </c>
      <c r="F402" s="26" t="s">
        <v>423</v>
      </c>
      <c r="G402" s="26" t="s">
        <v>404</v>
      </c>
      <c r="H402" s="26">
        <v>38.82</v>
      </c>
      <c r="I402" s="26">
        <v>-76.75</v>
      </c>
      <c r="J402" s="26">
        <v>5.5</v>
      </c>
      <c r="P402" s="52">
        <v>2</v>
      </c>
      <c r="Q402" s="52"/>
      <c r="R402" s="52" t="s">
        <v>443</v>
      </c>
      <c r="S402" s="52" t="s">
        <v>1555</v>
      </c>
      <c r="T402" s="52" t="s">
        <v>1555</v>
      </c>
      <c r="U402" s="52" t="s">
        <v>1555</v>
      </c>
      <c r="V402" s="52" t="s">
        <v>1903</v>
      </c>
      <c r="Z402" s="26" t="s">
        <v>1788</v>
      </c>
      <c r="AE402" s="26" t="s">
        <v>1710</v>
      </c>
      <c r="AF402" s="152" t="s">
        <v>666</v>
      </c>
      <c r="AG402" s="26" t="s">
        <v>416</v>
      </c>
      <c r="AH402" s="154" t="s">
        <v>267</v>
      </c>
      <c r="AO402" s="26" t="s">
        <v>403</v>
      </c>
      <c r="AP402" s="26" t="s">
        <v>403</v>
      </c>
      <c r="AQ402" s="26" t="s">
        <v>212</v>
      </c>
      <c r="AR402" s="26" t="s">
        <v>192</v>
      </c>
      <c r="AS402" s="26">
        <v>4</v>
      </c>
      <c r="AT402" s="26">
        <v>4</v>
      </c>
      <c r="AU402" s="26" t="s">
        <v>169</v>
      </c>
      <c r="AY402" s="63"/>
      <c r="BD402" s="26">
        <v>727.89</v>
      </c>
      <c r="BE402" s="26">
        <v>68.03</v>
      </c>
      <c r="EJ402" s="12"/>
      <c r="EL402" s="15"/>
      <c r="FT402" s="26">
        <v>23</v>
      </c>
    </row>
    <row r="403" spans="1:176" s="26" customFormat="1" x14ac:dyDescent="0.25">
      <c r="A403" s="26">
        <v>23</v>
      </c>
      <c r="B403" s="26" t="s">
        <v>400</v>
      </c>
      <c r="C403" s="26" t="s">
        <v>401</v>
      </c>
      <c r="D403" s="26">
        <v>2016</v>
      </c>
      <c r="E403" s="26">
        <v>2010</v>
      </c>
      <c r="F403" s="26" t="s">
        <v>423</v>
      </c>
      <c r="G403" s="26" t="s">
        <v>404</v>
      </c>
      <c r="H403" s="26">
        <v>38.82</v>
      </c>
      <c r="I403" s="26">
        <v>-76.75</v>
      </c>
      <c r="J403" s="26">
        <v>5.5</v>
      </c>
      <c r="P403" s="52">
        <v>2</v>
      </c>
      <c r="Q403" s="52"/>
      <c r="R403" s="52" t="s">
        <v>429</v>
      </c>
      <c r="S403" s="52" t="s">
        <v>1555</v>
      </c>
      <c r="T403" s="52" t="s">
        <v>1555</v>
      </c>
      <c r="U403" s="52" t="s">
        <v>1555</v>
      </c>
      <c r="V403" s="52" t="s">
        <v>1903</v>
      </c>
      <c r="Z403" s="26" t="s">
        <v>1788</v>
      </c>
      <c r="AE403" s="26" t="s">
        <v>1710</v>
      </c>
      <c r="AF403" s="152" t="s">
        <v>666</v>
      </c>
      <c r="AG403" s="26" t="s">
        <v>416</v>
      </c>
      <c r="AH403" s="154" t="s">
        <v>267</v>
      </c>
      <c r="AO403" s="26" t="s">
        <v>403</v>
      </c>
      <c r="AP403" s="26" t="s">
        <v>403</v>
      </c>
      <c r="AQ403" s="26" t="s">
        <v>212</v>
      </c>
      <c r="AR403" s="26" t="s">
        <v>192</v>
      </c>
      <c r="AS403" s="26">
        <v>4</v>
      </c>
      <c r="AT403" s="26">
        <v>4</v>
      </c>
      <c r="AU403" s="26" t="s">
        <v>169</v>
      </c>
      <c r="AY403" s="63"/>
      <c r="BD403" s="26">
        <v>619.04999999999995</v>
      </c>
      <c r="BE403" s="26">
        <v>231.29</v>
      </c>
      <c r="EJ403" s="12"/>
      <c r="EL403" s="15"/>
      <c r="FT403" s="26">
        <v>23</v>
      </c>
    </row>
    <row r="404" spans="1:176" s="26" customFormat="1" x14ac:dyDescent="0.25">
      <c r="A404" s="26">
        <v>23</v>
      </c>
      <c r="B404" s="26" t="s">
        <v>400</v>
      </c>
      <c r="C404" s="26" t="s">
        <v>401</v>
      </c>
      <c r="D404" s="26">
        <v>2016</v>
      </c>
      <c r="E404" s="26">
        <v>2010</v>
      </c>
      <c r="F404" s="26" t="s">
        <v>423</v>
      </c>
      <c r="G404" s="26" t="s">
        <v>404</v>
      </c>
      <c r="H404" s="26">
        <v>38.82</v>
      </c>
      <c r="I404" s="26">
        <v>-76.75</v>
      </c>
      <c r="J404" s="26">
        <v>5.5</v>
      </c>
      <c r="P404" s="52">
        <v>2</v>
      </c>
      <c r="Q404" s="52"/>
      <c r="R404" s="52" t="s">
        <v>430</v>
      </c>
      <c r="S404" s="52" t="s">
        <v>1555</v>
      </c>
      <c r="T404" s="52" t="s">
        <v>1555</v>
      </c>
      <c r="U404" s="52" t="s">
        <v>1555</v>
      </c>
      <c r="V404" s="52" t="s">
        <v>1903</v>
      </c>
      <c r="Z404" s="26" t="s">
        <v>1788</v>
      </c>
      <c r="AE404" s="26" t="s">
        <v>1710</v>
      </c>
      <c r="AF404" s="152" t="s">
        <v>666</v>
      </c>
      <c r="AG404" s="26" t="s">
        <v>416</v>
      </c>
      <c r="AH404" s="154" t="s">
        <v>267</v>
      </c>
      <c r="AO404" s="26" t="s">
        <v>403</v>
      </c>
      <c r="AP404" s="26" t="s">
        <v>403</v>
      </c>
      <c r="AQ404" s="26" t="s">
        <v>212</v>
      </c>
      <c r="AR404" s="26" t="s">
        <v>192</v>
      </c>
      <c r="AS404" s="26">
        <v>4</v>
      </c>
      <c r="AT404" s="26">
        <v>4</v>
      </c>
      <c r="AU404" s="26" t="s">
        <v>169</v>
      </c>
      <c r="AY404" s="63"/>
      <c r="BD404" s="26">
        <v>591.84</v>
      </c>
      <c r="BE404" s="26">
        <v>81.63</v>
      </c>
      <c r="EJ404" s="12"/>
      <c r="EL404" s="15"/>
      <c r="FT404" s="26">
        <v>23</v>
      </c>
    </row>
    <row r="405" spans="1:176" s="26" customFormat="1" x14ac:dyDescent="0.25">
      <c r="A405" s="26">
        <v>23</v>
      </c>
      <c r="B405" s="26" t="s">
        <v>400</v>
      </c>
      <c r="C405" s="26" t="s">
        <v>401</v>
      </c>
      <c r="D405" s="26">
        <v>2016</v>
      </c>
      <c r="E405" s="26">
        <v>2010</v>
      </c>
      <c r="F405" s="26" t="s">
        <v>423</v>
      </c>
      <c r="G405" s="26" t="s">
        <v>404</v>
      </c>
      <c r="H405" s="26">
        <v>38.82</v>
      </c>
      <c r="I405" s="26">
        <v>-76.75</v>
      </c>
      <c r="J405" s="26">
        <v>5.5</v>
      </c>
      <c r="P405" s="52">
        <v>2</v>
      </c>
      <c r="Q405" s="52"/>
      <c r="R405" s="52" t="s">
        <v>444</v>
      </c>
      <c r="S405" s="52" t="s">
        <v>1555</v>
      </c>
      <c r="T405" s="52" t="s">
        <v>1555</v>
      </c>
      <c r="U405" s="52" t="s">
        <v>1555</v>
      </c>
      <c r="V405" s="52" t="s">
        <v>1903</v>
      </c>
      <c r="Z405" s="26" t="s">
        <v>1788</v>
      </c>
      <c r="AE405" s="26" t="s">
        <v>1710</v>
      </c>
      <c r="AF405" s="152" t="s">
        <v>666</v>
      </c>
      <c r="AG405" s="26" t="s">
        <v>416</v>
      </c>
      <c r="AH405" s="154" t="s">
        <v>267</v>
      </c>
      <c r="AO405" s="26" t="s">
        <v>403</v>
      </c>
      <c r="AP405" s="26" t="s">
        <v>403</v>
      </c>
      <c r="AQ405" s="26" t="s">
        <v>212</v>
      </c>
      <c r="AR405" s="26" t="s">
        <v>192</v>
      </c>
      <c r="AS405" s="26">
        <v>4</v>
      </c>
      <c r="AT405" s="26">
        <v>4</v>
      </c>
      <c r="AU405" s="26" t="s">
        <v>169</v>
      </c>
      <c r="AY405" s="63"/>
      <c r="BD405" s="26">
        <v>401.36</v>
      </c>
      <c r="BE405" s="26">
        <v>142.86000000000001</v>
      </c>
      <c r="EJ405" s="12"/>
      <c r="EL405" s="15"/>
      <c r="FT405" s="26">
        <v>23</v>
      </c>
    </row>
    <row r="406" spans="1:176" s="26" customFormat="1" x14ac:dyDescent="0.25">
      <c r="A406" s="26">
        <v>23</v>
      </c>
      <c r="B406" s="26" t="s">
        <v>400</v>
      </c>
      <c r="C406" s="26" t="s">
        <v>401</v>
      </c>
      <c r="D406" s="26">
        <v>2016</v>
      </c>
      <c r="E406" s="26">
        <v>2010</v>
      </c>
      <c r="F406" s="26" t="s">
        <v>423</v>
      </c>
      <c r="G406" s="26" t="s">
        <v>404</v>
      </c>
      <c r="H406" s="26">
        <v>38.82</v>
      </c>
      <c r="I406" s="26">
        <v>-76.75</v>
      </c>
      <c r="J406" s="26">
        <v>5.5</v>
      </c>
      <c r="P406" s="52">
        <v>2</v>
      </c>
      <c r="Q406" s="52"/>
      <c r="R406" s="52" t="s">
        <v>439</v>
      </c>
      <c r="S406" s="52" t="s">
        <v>1555</v>
      </c>
      <c r="T406" s="52" t="s">
        <v>1555</v>
      </c>
      <c r="U406" s="52" t="s">
        <v>1555</v>
      </c>
      <c r="V406" s="52" t="s">
        <v>1903</v>
      </c>
      <c r="Z406" s="26" t="s">
        <v>1788</v>
      </c>
      <c r="AE406" s="26" t="s">
        <v>1710</v>
      </c>
      <c r="AF406" s="152" t="s">
        <v>666</v>
      </c>
      <c r="AG406" s="26" t="s">
        <v>416</v>
      </c>
      <c r="AH406" s="154" t="s">
        <v>267</v>
      </c>
      <c r="AO406" s="26" t="s">
        <v>403</v>
      </c>
      <c r="AP406" s="26" t="s">
        <v>403</v>
      </c>
      <c r="AQ406" s="26" t="s">
        <v>212</v>
      </c>
      <c r="AR406" s="26" t="s">
        <v>192</v>
      </c>
      <c r="AS406" s="26">
        <v>4</v>
      </c>
      <c r="AT406" s="26">
        <v>4</v>
      </c>
      <c r="AU406" s="26" t="s">
        <v>169</v>
      </c>
      <c r="AY406" s="63"/>
      <c r="BD406" s="26">
        <v>1095.24</v>
      </c>
      <c r="BE406" s="26">
        <v>204.08</v>
      </c>
      <c r="EJ406" s="12"/>
      <c r="EL406" s="15"/>
      <c r="FT406" s="26">
        <v>23</v>
      </c>
    </row>
    <row r="407" spans="1:176" s="26" customFormat="1" x14ac:dyDescent="0.25">
      <c r="A407" s="26">
        <v>23</v>
      </c>
      <c r="B407" s="26" t="s">
        <v>400</v>
      </c>
      <c r="C407" s="26" t="s">
        <v>401</v>
      </c>
      <c r="D407" s="26">
        <v>2016</v>
      </c>
      <c r="E407" s="26">
        <v>2010</v>
      </c>
      <c r="F407" s="26" t="s">
        <v>423</v>
      </c>
      <c r="G407" s="26" t="s">
        <v>404</v>
      </c>
      <c r="H407" s="26">
        <v>38.82</v>
      </c>
      <c r="I407" s="26">
        <v>-76.75</v>
      </c>
      <c r="J407" s="26">
        <v>5.5</v>
      </c>
      <c r="P407" s="52">
        <v>2</v>
      </c>
      <c r="Q407" s="52"/>
      <c r="R407" s="52" t="s">
        <v>445</v>
      </c>
      <c r="S407" s="52" t="s">
        <v>1555</v>
      </c>
      <c r="T407" s="52" t="s">
        <v>1555</v>
      </c>
      <c r="U407" s="52" t="s">
        <v>1555</v>
      </c>
      <c r="V407" s="52" t="s">
        <v>1903</v>
      </c>
      <c r="Z407" s="26" t="s">
        <v>1788</v>
      </c>
      <c r="AE407" s="26" t="s">
        <v>1710</v>
      </c>
      <c r="AF407" s="152" t="s">
        <v>666</v>
      </c>
      <c r="AG407" s="26" t="s">
        <v>416</v>
      </c>
      <c r="AH407" s="154" t="s">
        <v>267</v>
      </c>
      <c r="AO407" s="26" t="s">
        <v>403</v>
      </c>
      <c r="AP407" s="26" t="s">
        <v>403</v>
      </c>
      <c r="AQ407" s="26" t="s">
        <v>212</v>
      </c>
      <c r="AR407" s="26" t="s">
        <v>192</v>
      </c>
      <c r="AS407" s="26">
        <v>4</v>
      </c>
      <c r="AT407" s="26">
        <v>4</v>
      </c>
      <c r="AU407" s="26" t="s">
        <v>169</v>
      </c>
      <c r="AY407" s="63"/>
      <c r="BD407" s="26">
        <v>1482.99</v>
      </c>
      <c r="BE407" s="26">
        <v>489.8</v>
      </c>
      <c r="EJ407" s="12"/>
      <c r="EL407" s="15"/>
      <c r="FT407" s="26">
        <v>23</v>
      </c>
    </row>
    <row r="408" spans="1:176" s="26" customFormat="1" x14ac:dyDescent="0.25">
      <c r="A408" s="26">
        <v>23</v>
      </c>
      <c r="B408" s="26" t="s">
        <v>400</v>
      </c>
      <c r="C408" s="26" t="s">
        <v>401</v>
      </c>
      <c r="D408" s="26">
        <v>2016</v>
      </c>
      <c r="E408" s="26">
        <v>2010</v>
      </c>
      <c r="F408" s="26" t="s">
        <v>423</v>
      </c>
      <c r="G408" s="26" t="s">
        <v>404</v>
      </c>
      <c r="H408" s="26">
        <v>38.82</v>
      </c>
      <c r="I408" s="26">
        <v>-76.75</v>
      </c>
      <c r="J408" s="26">
        <v>5.5</v>
      </c>
      <c r="P408" s="52">
        <v>2</v>
      </c>
      <c r="Q408" s="52"/>
      <c r="R408" s="52" t="s">
        <v>433</v>
      </c>
      <c r="S408" s="52" t="s">
        <v>1555</v>
      </c>
      <c r="T408" s="52" t="s">
        <v>1555</v>
      </c>
      <c r="U408" s="52" t="s">
        <v>1555</v>
      </c>
      <c r="V408" s="52" t="s">
        <v>1903</v>
      </c>
      <c r="Z408" s="26" t="s">
        <v>1788</v>
      </c>
      <c r="AE408" s="26" t="s">
        <v>1710</v>
      </c>
      <c r="AF408" s="152" t="s">
        <v>666</v>
      </c>
      <c r="AG408" s="26" t="s">
        <v>416</v>
      </c>
      <c r="AH408" s="154" t="s">
        <v>267</v>
      </c>
      <c r="AO408" s="26" t="s">
        <v>403</v>
      </c>
      <c r="AP408" s="26" t="s">
        <v>403</v>
      </c>
      <c r="AQ408" s="26" t="s">
        <v>212</v>
      </c>
      <c r="AR408" s="26" t="s">
        <v>192</v>
      </c>
      <c r="AS408" s="26">
        <v>4</v>
      </c>
      <c r="AT408" s="26">
        <v>4</v>
      </c>
      <c r="AU408" s="26" t="s">
        <v>169</v>
      </c>
      <c r="AY408" s="63"/>
      <c r="BD408" s="26">
        <v>353.74</v>
      </c>
      <c r="BE408" s="26">
        <v>136.05000000000001</v>
      </c>
      <c r="EJ408" s="12"/>
      <c r="EL408" s="15"/>
      <c r="FT408" s="26">
        <v>23</v>
      </c>
    </row>
    <row r="409" spans="1:176" s="26" customFormat="1" x14ac:dyDescent="0.25">
      <c r="A409" s="26">
        <v>23</v>
      </c>
      <c r="B409" s="26" t="s">
        <v>400</v>
      </c>
      <c r="C409" s="26" t="s">
        <v>401</v>
      </c>
      <c r="D409" s="26">
        <v>2016</v>
      </c>
      <c r="E409" s="26">
        <v>2010</v>
      </c>
      <c r="F409" s="26" t="s">
        <v>423</v>
      </c>
      <c r="G409" s="26" t="s">
        <v>404</v>
      </c>
      <c r="H409" s="26">
        <v>38.82</v>
      </c>
      <c r="I409" s="26">
        <v>-76.75</v>
      </c>
      <c r="J409" s="26">
        <v>5.5</v>
      </c>
      <c r="P409" s="52">
        <v>2</v>
      </c>
      <c r="Q409" s="52"/>
      <c r="R409" s="52" t="s">
        <v>446</v>
      </c>
      <c r="S409" s="52" t="s">
        <v>1555</v>
      </c>
      <c r="T409" s="52" t="s">
        <v>1555</v>
      </c>
      <c r="U409" s="52" t="s">
        <v>1555</v>
      </c>
      <c r="V409" s="52" t="s">
        <v>1903</v>
      </c>
      <c r="Z409" s="26" t="s">
        <v>1788</v>
      </c>
      <c r="AE409" s="26" t="s">
        <v>1710</v>
      </c>
      <c r="AF409" s="152" t="s">
        <v>666</v>
      </c>
      <c r="AG409" s="26" t="s">
        <v>416</v>
      </c>
      <c r="AH409" s="154" t="s">
        <v>267</v>
      </c>
      <c r="AO409" s="26" t="s">
        <v>403</v>
      </c>
      <c r="AP409" s="26" t="s">
        <v>403</v>
      </c>
      <c r="AQ409" s="26" t="s">
        <v>212</v>
      </c>
      <c r="AR409" s="26" t="s">
        <v>192</v>
      </c>
      <c r="AS409" s="26">
        <v>4</v>
      </c>
      <c r="AT409" s="26">
        <v>4</v>
      </c>
      <c r="AU409" s="26" t="s">
        <v>169</v>
      </c>
      <c r="AY409" s="63"/>
      <c r="BD409" s="26">
        <v>544.22</v>
      </c>
      <c r="BE409" s="26">
        <v>122.45</v>
      </c>
      <c r="EJ409" s="12"/>
      <c r="EL409" s="15"/>
      <c r="FT409" s="26">
        <v>23</v>
      </c>
    </row>
    <row r="410" spans="1:176" s="26" customFormat="1" x14ac:dyDescent="0.25">
      <c r="A410" s="26">
        <v>23</v>
      </c>
      <c r="B410" s="26" t="s">
        <v>400</v>
      </c>
      <c r="C410" s="26" t="s">
        <v>401</v>
      </c>
      <c r="D410" s="26">
        <v>2016</v>
      </c>
      <c r="E410" s="26">
        <v>2010</v>
      </c>
      <c r="F410" s="26" t="s">
        <v>423</v>
      </c>
      <c r="G410" s="26" t="s">
        <v>404</v>
      </c>
      <c r="H410" s="26">
        <v>38.82</v>
      </c>
      <c r="I410" s="26">
        <v>-76.75</v>
      </c>
      <c r="J410" s="26">
        <v>5.5</v>
      </c>
      <c r="P410" s="52">
        <v>2</v>
      </c>
      <c r="Q410" s="52"/>
      <c r="R410" s="52" t="s">
        <v>434</v>
      </c>
      <c r="S410" s="52" t="s">
        <v>1555</v>
      </c>
      <c r="T410" s="52" t="s">
        <v>1555</v>
      </c>
      <c r="U410" s="52" t="s">
        <v>1555</v>
      </c>
      <c r="V410" s="52" t="s">
        <v>1903</v>
      </c>
      <c r="Z410" s="26" t="s">
        <v>1788</v>
      </c>
      <c r="AE410" s="26" t="s">
        <v>1710</v>
      </c>
      <c r="AF410" s="152" t="s">
        <v>666</v>
      </c>
      <c r="AG410" s="26" t="s">
        <v>416</v>
      </c>
      <c r="AH410" s="154" t="s">
        <v>267</v>
      </c>
      <c r="AO410" s="26" t="s">
        <v>403</v>
      </c>
      <c r="AP410" s="26" t="s">
        <v>403</v>
      </c>
      <c r="AQ410" s="26" t="s">
        <v>212</v>
      </c>
      <c r="AR410" s="26" t="s">
        <v>192</v>
      </c>
      <c r="AS410" s="26">
        <v>4</v>
      </c>
      <c r="AT410" s="26">
        <v>4</v>
      </c>
      <c r="AU410" s="26" t="s">
        <v>169</v>
      </c>
      <c r="AY410" s="63"/>
      <c r="BD410" s="26">
        <v>272.11</v>
      </c>
      <c r="BE410" s="26">
        <v>81.63</v>
      </c>
      <c r="EJ410" s="12"/>
      <c r="EL410" s="15"/>
      <c r="FT410" s="26">
        <v>23</v>
      </c>
    </row>
    <row r="411" spans="1:176" s="26" customFormat="1" x14ac:dyDescent="0.25">
      <c r="A411" s="26">
        <v>23</v>
      </c>
      <c r="B411" s="26" t="s">
        <v>400</v>
      </c>
      <c r="C411" s="26" t="s">
        <v>401</v>
      </c>
      <c r="D411" s="26">
        <v>2016</v>
      </c>
      <c r="E411" s="26">
        <v>2010</v>
      </c>
      <c r="F411" s="26" t="s">
        <v>423</v>
      </c>
      <c r="G411" s="26" t="s">
        <v>404</v>
      </c>
      <c r="H411" s="26">
        <v>38.82</v>
      </c>
      <c r="I411" s="26">
        <v>-76.75</v>
      </c>
      <c r="J411" s="26">
        <v>5.5</v>
      </c>
      <c r="P411" s="52">
        <v>2</v>
      </c>
      <c r="Q411" s="52"/>
      <c r="R411" s="52" t="s">
        <v>436</v>
      </c>
      <c r="S411" s="52" t="s">
        <v>1555</v>
      </c>
      <c r="T411" s="52" t="s">
        <v>1555</v>
      </c>
      <c r="U411" s="52" t="s">
        <v>1555</v>
      </c>
      <c r="V411" s="52" t="s">
        <v>1903</v>
      </c>
      <c r="Z411" s="26" t="s">
        <v>1788</v>
      </c>
      <c r="AE411" s="26" t="s">
        <v>1710</v>
      </c>
      <c r="AF411" s="152" t="s">
        <v>666</v>
      </c>
      <c r="AG411" s="26" t="s">
        <v>416</v>
      </c>
      <c r="AH411" s="154" t="s">
        <v>267</v>
      </c>
      <c r="AO411" s="26" t="s">
        <v>403</v>
      </c>
      <c r="AP411" s="26" t="s">
        <v>403</v>
      </c>
      <c r="AQ411" s="26" t="s">
        <v>212</v>
      </c>
      <c r="AR411" s="26" t="s">
        <v>192</v>
      </c>
      <c r="AS411" s="26">
        <v>4</v>
      </c>
      <c r="AT411" s="26">
        <v>4</v>
      </c>
      <c r="AU411" s="26" t="s">
        <v>169</v>
      </c>
      <c r="AY411" s="63"/>
      <c r="BD411" s="26">
        <v>653.05999999999995</v>
      </c>
      <c r="BE411" s="26">
        <v>326.52999999999997</v>
      </c>
      <c r="EJ411" s="12"/>
      <c r="EL411" s="15"/>
      <c r="FT411" s="26">
        <v>23</v>
      </c>
    </row>
    <row r="412" spans="1:176" s="26" customFormat="1" x14ac:dyDescent="0.25">
      <c r="A412" s="26">
        <v>23</v>
      </c>
      <c r="B412" s="26" t="s">
        <v>400</v>
      </c>
      <c r="C412" s="26" t="s">
        <v>401</v>
      </c>
      <c r="D412" s="26">
        <v>2016</v>
      </c>
      <c r="E412" s="26">
        <v>2010</v>
      </c>
      <c r="F412" s="26" t="s">
        <v>423</v>
      </c>
      <c r="G412" s="26" t="s">
        <v>404</v>
      </c>
      <c r="H412" s="26">
        <v>38.82</v>
      </c>
      <c r="I412" s="26">
        <v>-76.75</v>
      </c>
      <c r="J412" s="26">
        <v>5.5</v>
      </c>
      <c r="P412" s="52">
        <v>2</v>
      </c>
      <c r="Q412" s="52"/>
      <c r="R412" s="52" t="s">
        <v>440</v>
      </c>
      <c r="S412" s="52" t="s">
        <v>1555</v>
      </c>
      <c r="T412" s="52" t="s">
        <v>1555</v>
      </c>
      <c r="U412" s="52" t="s">
        <v>1555</v>
      </c>
      <c r="V412" s="52" t="s">
        <v>1903</v>
      </c>
      <c r="Z412" s="26" t="s">
        <v>1788</v>
      </c>
      <c r="AE412" s="26" t="s">
        <v>1710</v>
      </c>
      <c r="AF412" s="152" t="s">
        <v>666</v>
      </c>
      <c r="AG412" s="26" t="s">
        <v>416</v>
      </c>
      <c r="AH412" s="154" t="s">
        <v>267</v>
      </c>
      <c r="AO412" s="26" t="s">
        <v>403</v>
      </c>
      <c r="AP412" s="26" t="s">
        <v>403</v>
      </c>
      <c r="AQ412" s="26" t="s">
        <v>212</v>
      </c>
      <c r="AR412" s="26" t="s">
        <v>192</v>
      </c>
      <c r="AS412" s="26">
        <v>4</v>
      </c>
      <c r="AT412" s="26">
        <v>4</v>
      </c>
      <c r="AU412" s="26" t="s">
        <v>169</v>
      </c>
      <c r="AY412" s="63"/>
      <c r="BD412" s="26">
        <v>1721.09</v>
      </c>
      <c r="BE412" s="26">
        <v>238.1</v>
      </c>
      <c r="EJ412" s="12"/>
      <c r="EL412" s="15"/>
      <c r="FT412" s="26">
        <v>23</v>
      </c>
    </row>
    <row r="413" spans="1:176" s="26" customFormat="1" x14ac:dyDescent="0.25">
      <c r="A413" s="26">
        <v>23</v>
      </c>
      <c r="B413" s="26" t="s">
        <v>400</v>
      </c>
      <c r="C413" s="26" t="s">
        <v>401</v>
      </c>
      <c r="D413" s="26">
        <v>2016</v>
      </c>
      <c r="E413" s="26">
        <v>2010</v>
      </c>
      <c r="F413" s="26" t="s">
        <v>423</v>
      </c>
      <c r="G413" s="26" t="s">
        <v>404</v>
      </c>
      <c r="H413" s="26">
        <v>38.82</v>
      </c>
      <c r="I413" s="26">
        <v>-76.75</v>
      </c>
      <c r="J413" s="26">
        <v>5.5</v>
      </c>
      <c r="P413" s="52">
        <v>2</v>
      </c>
      <c r="Q413" s="52"/>
      <c r="R413" s="52" t="s">
        <v>447</v>
      </c>
      <c r="S413" s="52" t="s">
        <v>1555</v>
      </c>
      <c r="T413" s="52" t="s">
        <v>1555</v>
      </c>
      <c r="U413" s="52" t="s">
        <v>1555</v>
      </c>
      <c r="V413" s="52" t="s">
        <v>1903</v>
      </c>
      <c r="Z413" s="26" t="s">
        <v>1788</v>
      </c>
      <c r="AE413" s="26" t="s">
        <v>1710</v>
      </c>
      <c r="AF413" s="152" t="s">
        <v>666</v>
      </c>
      <c r="AG413" s="26" t="s">
        <v>416</v>
      </c>
      <c r="AH413" s="154" t="s">
        <v>267</v>
      </c>
      <c r="AO413" s="26" t="s">
        <v>403</v>
      </c>
      <c r="AP413" s="26" t="s">
        <v>403</v>
      </c>
      <c r="AQ413" s="26" t="s">
        <v>212</v>
      </c>
      <c r="AR413" s="26" t="s">
        <v>192</v>
      </c>
      <c r="AS413" s="26">
        <v>4</v>
      </c>
      <c r="AT413" s="26">
        <v>4</v>
      </c>
      <c r="AU413" s="26" t="s">
        <v>169</v>
      </c>
      <c r="AY413" s="63"/>
      <c r="BD413" s="26">
        <v>659.86</v>
      </c>
      <c r="BE413" s="26">
        <v>210.88</v>
      </c>
      <c r="EJ413" s="12"/>
      <c r="EL413" s="15"/>
      <c r="FT413" s="26">
        <v>23</v>
      </c>
    </row>
    <row r="414" spans="1:176" s="26" customFormat="1" x14ac:dyDescent="0.25">
      <c r="A414" s="26">
        <v>23</v>
      </c>
      <c r="B414" s="26" t="s">
        <v>400</v>
      </c>
      <c r="C414" s="26" t="s">
        <v>401</v>
      </c>
      <c r="D414" s="26">
        <v>2016</v>
      </c>
      <c r="E414" s="26">
        <v>2010</v>
      </c>
      <c r="F414" s="26" t="s">
        <v>423</v>
      </c>
      <c r="G414" s="26" t="s">
        <v>404</v>
      </c>
      <c r="H414" s="26">
        <v>38.82</v>
      </c>
      <c r="I414" s="26">
        <v>-76.75</v>
      </c>
      <c r="J414" s="26">
        <v>5.5</v>
      </c>
      <c r="P414" s="52">
        <v>2</v>
      </c>
      <c r="Q414" s="52"/>
      <c r="R414" s="52" t="s">
        <v>448</v>
      </c>
      <c r="S414" s="52" t="s">
        <v>1555</v>
      </c>
      <c r="T414" s="52" t="s">
        <v>1555</v>
      </c>
      <c r="U414" s="52" t="s">
        <v>1555</v>
      </c>
      <c r="V414" s="52" t="s">
        <v>1903</v>
      </c>
      <c r="Z414" s="26" t="s">
        <v>1788</v>
      </c>
      <c r="AE414" s="26" t="s">
        <v>1710</v>
      </c>
      <c r="AF414" s="152" t="s">
        <v>666</v>
      </c>
      <c r="AG414" s="26" t="s">
        <v>416</v>
      </c>
      <c r="AH414" s="154" t="s">
        <v>267</v>
      </c>
      <c r="AO414" s="26" t="s">
        <v>403</v>
      </c>
      <c r="AP414" s="26" t="s">
        <v>403</v>
      </c>
      <c r="AQ414" s="26" t="s">
        <v>212</v>
      </c>
      <c r="AR414" s="26" t="s">
        <v>192</v>
      </c>
      <c r="AS414" s="26">
        <v>4</v>
      </c>
      <c r="AT414" s="26">
        <v>4</v>
      </c>
      <c r="AU414" s="26" t="s">
        <v>169</v>
      </c>
      <c r="AY414" s="63"/>
      <c r="BD414" s="26">
        <v>537.41999999999996</v>
      </c>
      <c r="BE414" s="26">
        <v>360.54</v>
      </c>
      <c r="EJ414" s="12"/>
      <c r="EL414" s="15"/>
      <c r="FT414" s="26">
        <v>23</v>
      </c>
    </row>
    <row r="415" spans="1:176" s="42" customFormat="1" x14ac:dyDescent="0.25">
      <c r="A415" s="42">
        <v>23</v>
      </c>
      <c r="B415" s="42" t="s">
        <v>400</v>
      </c>
      <c r="C415" s="42" t="s">
        <v>401</v>
      </c>
      <c r="D415" s="42">
        <v>2016</v>
      </c>
      <c r="E415" s="42">
        <v>2011</v>
      </c>
      <c r="F415" s="42" t="s">
        <v>423</v>
      </c>
      <c r="G415" s="42" t="s">
        <v>405</v>
      </c>
      <c r="H415" s="42">
        <v>38.92</v>
      </c>
      <c r="I415" s="42">
        <v>-76.150000000000006</v>
      </c>
      <c r="J415" s="42">
        <v>4.8</v>
      </c>
      <c r="P415" s="59">
        <v>3</v>
      </c>
      <c r="Q415" s="59"/>
      <c r="R415" s="59" t="s">
        <v>443</v>
      </c>
      <c r="S415" s="59" t="s">
        <v>1555</v>
      </c>
      <c r="T415" s="59" t="s">
        <v>1555</v>
      </c>
      <c r="U415" s="59" t="s">
        <v>1555</v>
      </c>
      <c r="V415" s="59" t="s">
        <v>1903</v>
      </c>
      <c r="Z415" s="42" t="s">
        <v>1788</v>
      </c>
      <c r="AE415" s="42" t="s">
        <v>1710</v>
      </c>
      <c r="AF415" s="152" t="s">
        <v>666</v>
      </c>
      <c r="AG415" s="42" t="s">
        <v>416</v>
      </c>
      <c r="AH415" s="154" t="s">
        <v>267</v>
      </c>
      <c r="AO415" s="42" t="s">
        <v>403</v>
      </c>
      <c r="AP415" s="42" t="s">
        <v>403</v>
      </c>
      <c r="AQ415" s="42" t="s">
        <v>212</v>
      </c>
      <c r="AR415" s="42" t="s">
        <v>192</v>
      </c>
      <c r="AS415" s="42">
        <v>4</v>
      </c>
      <c r="AT415" s="42">
        <v>4</v>
      </c>
      <c r="AU415" s="42" t="s">
        <v>169</v>
      </c>
      <c r="AY415" s="63"/>
      <c r="BD415" s="42">
        <v>1.5</v>
      </c>
      <c r="BE415" s="42">
        <v>1.5</v>
      </c>
      <c r="EJ415" s="12"/>
      <c r="EL415" s="15"/>
      <c r="FT415" s="42">
        <v>23</v>
      </c>
    </row>
    <row r="416" spans="1:176" s="42" customFormat="1" x14ac:dyDescent="0.25">
      <c r="A416" s="42">
        <v>23</v>
      </c>
      <c r="B416" s="42" t="s">
        <v>400</v>
      </c>
      <c r="C416" s="42" t="s">
        <v>401</v>
      </c>
      <c r="D416" s="42">
        <v>2016</v>
      </c>
      <c r="E416" s="42">
        <v>2011</v>
      </c>
      <c r="F416" s="42" t="s">
        <v>423</v>
      </c>
      <c r="G416" s="42" t="s">
        <v>405</v>
      </c>
      <c r="H416" s="42">
        <v>38.92</v>
      </c>
      <c r="I416" s="42">
        <v>-76.150000000000006</v>
      </c>
      <c r="J416" s="42">
        <v>4.8</v>
      </c>
      <c r="P416" s="59">
        <v>3</v>
      </c>
      <c r="Q416" s="59"/>
      <c r="R416" s="59" t="s">
        <v>437</v>
      </c>
      <c r="S416" s="59" t="s">
        <v>1555</v>
      </c>
      <c r="T416" s="59" t="s">
        <v>1555</v>
      </c>
      <c r="U416" s="59" t="s">
        <v>1555</v>
      </c>
      <c r="V416" s="59" t="s">
        <v>1903</v>
      </c>
      <c r="Z416" s="42" t="s">
        <v>1788</v>
      </c>
      <c r="AE416" s="42" t="s">
        <v>1710</v>
      </c>
      <c r="AF416" s="152" t="s">
        <v>666</v>
      </c>
      <c r="AG416" s="42" t="s">
        <v>416</v>
      </c>
      <c r="AH416" s="154" t="s">
        <v>267</v>
      </c>
      <c r="AO416" s="42" t="s">
        <v>403</v>
      </c>
      <c r="AP416" s="42" t="s">
        <v>403</v>
      </c>
      <c r="AQ416" s="42" t="s">
        <v>212</v>
      </c>
      <c r="AR416" s="42" t="s">
        <v>192</v>
      </c>
      <c r="AS416" s="42">
        <v>4</v>
      </c>
      <c r="AT416" s="42">
        <v>4</v>
      </c>
      <c r="AU416" s="42" t="s">
        <v>169</v>
      </c>
      <c r="AY416" s="63"/>
      <c r="BD416" s="42">
        <v>1.5</v>
      </c>
      <c r="BE416" s="42">
        <v>1.5</v>
      </c>
      <c r="EJ416" s="12"/>
      <c r="EL416" s="15"/>
      <c r="FT416" s="42">
        <v>23</v>
      </c>
    </row>
    <row r="417" spans="1:176" s="42" customFormat="1" x14ac:dyDescent="0.25">
      <c r="A417" s="42">
        <v>23</v>
      </c>
      <c r="B417" s="42" t="s">
        <v>400</v>
      </c>
      <c r="C417" s="42" t="s">
        <v>401</v>
      </c>
      <c r="D417" s="42">
        <v>2016</v>
      </c>
      <c r="E417" s="42">
        <v>2011</v>
      </c>
      <c r="F417" s="42" t="s">
        <v>423</v>
      </c>
      <c r="G417" s="42" t="s">
        <v>405</v>
      </c>
      <c r="H417" s="42">
        <v>38.92</v>
      </c>
      <c r="I417" s="42">
        <v>-76.150000000000006</v>
      </c>
      <c r="J417" s="42">
        <v>4.8</v>
      </c>
      <c r="P417" s="59">
        <v>3</v>
      </c>
      <c r="Q417" s="59"/>
      <c r="R417" s="59" t="s">
        <v>438</v>
      </c>
      <c r="S417" s="59" t="s">
        <v>1555</v>
      </c>
      <c r="T417" s="59" t="s">
        <v>1555</v>
      </c>
      <c r="U417" s="59" t="s">
        <v>1555</v>
      </c>
      <c r="V417" s="59" t="s">
        <v>1903</v>
      </c>
      <c r="Z417" s="42" t="s">
        <v>1788</v>
      </c>
      <c r="AE417" s="42" t="s">
        <v>1710</v>
      </c>
      <c r="AF417" s="152" t="s">
        <v>666</v>
      </c>
      <c r="AG417" s="42" t="s">
        <v>416</v>
      </c>
      <c r="AH417" s="154" t="s">
        <v>267</v>
      </c>
      <c r="AO417" s="42" t="s">
        <v>403</v>
      </c>
      <c r="AP417" s="42" t="s">
        <v>403</v>
      </c>
      <c r="AQ417" s="42" t="s">
        <v>212</v>
      </c>
      <c r="AR417" s="42" t="s">
        <v>192</v>
      </c>
      <c r="AS417" s="42">
        <v>4</v>
      </c>
      <c r="AT417" s="42">
        <v>4</v>
      </c>
      <c r="AU417" s="42" t="s">
        <v>169</v>
      </c>
      <c r="AY417" s="63"/>
      <c r="BD417" s="42">
        <v>1.5</v>
      </c>
      <c r="BE417" s="42">
        <v>1.5</v>
      </c>
      <c r="EJ417" s="12"/>
      <c r="EL417" s="15"/>
      <c r="FT417" s="42">
        <v>23</v>
      </c>
    </row>
    <row r="418" spans="1:176" s="42" customFormat="1" x14ac:dyDescent="0.25">
      <c r="A418" s="42">
        <v>23</v>
      </c>
      <c r="B418" s="42" t="s">
        <v>400</v>
      </c>
      <c r="C418" s="42" t="s">
        <v>401</v>
      </c>
      <c r="D418" s="42">
        <v>2016</v>
      </c>
      <c r="E418" s="42">
        <v>2011</v>
      </c>
      <c r="F418" s="42" t="s">
        <v>423</v>
      </c>
      <c r="G418" s="42" t="s">
        <v>405</v>
      </c>
      <c r="H418" s="42">
        <v>38.92</v>
      </c>
      <c r="I418" s="42">
        <v>-76.150000000000006</v>
      </c>
      <c r="J418" s="42">
        <v>4.8</v>
      </c>
      <c r="P418" s="59">
        <v>3</v>
      </c>
      <c r="Q418" s="59"/>
      <c r="R418" s="59" t="s">
        <v>444</v>
      </c>
      <c r="S418" s="59" t="s">
        <v>1555</v>
      </c>
      <c r="T418" s="59" t="s">
        <v>1555</v>
      </c>
      <c r="U418" s="59" t="s">
        <v>1555</v>
      </c>
      <c r="V418" s="59" t="s">
        <v>1903</v>
      </c>
      <c r="Z418" s="42" t="s">
        <v>1788</v>
      </c>
      <c r="AE418" s="42" t="s">
        <v>1710</v>
      </c>
      <c r="AF418" s="152" t="s">
        <v>666</v>
      </c>
      <c r="AG418" s="42" t="s">
        <v>416</v>
      </c>
      <c r="AH418" s="154" t="s">
        <v>267</v>
      </c>
      <c r="AO418" s="42" t="s">
        <v>403</v>
      </c>
      <c r="AP418" s="42" t="s">
        <v>403</v>
      </c>
      <c r="AQ418" s="42" t="s">
        <v>212</v>
      </c>
      <c r="AR418" s="42" t="s">
        <v>192</v>
      </c>
      <c r="AS418" s="42">
        <v>4</v>
      </c>
      <c r="AT418" s="42">
        <v>4</v>
      </c>
      <c r="AU418" s="42" t="s">
        <v>169</v>
      </c>
      <c r="AY418" s="63"/>
      <c r="BD418" s="42">
        <v>174.25</v>
      </c>
      <c r="BE418" s="42">
        <v>415.72</v>
      </c>
      <c r="EJ418" s="12"/>
      <c r="EL418" s="15"/>
      <c r="FT418" s="42">
        <v>23</v>
      </c>
    </row>
    <row r="419" spans="1:176" s="42" customFormat="1" x14ac:dyDescent="0.25">
      <c r="A419" s="42">
        <v>23</v>
      </c>
      <c r="B419" s="42" t="s">
        <v>400</v>
      </c>
      <c r="C419" s="42" t="s">
        <v>401</v>
      </c>
      <c r="D419" s="42">
        <v>2016</v>
      </c>
      <c r="E419" s="42">
        <v>2011</v>
      </c>
      <c r="F419" s="42" t="s">
        <v>423</v>
      </c>
      <c r="G419" s="42" t="s">
        <v>405</v>
      </c>
      <c r="H419" s="42">
        <v>38.92</v>
      </c>
      <c r="I419" s="42">
        <v>-76.150000000000006</v>
      </c>
      <c r="J419" s="42">
        <v>4.8</v>
      </c>
      <c r="P419" s="59">
        <v>3</v>
      </c>
      <c r="Q419" s="59"/>
      <c r="R419" s="59" t="s">
        <v>439</v>
      </c>
      <c r="S419" s="59" t="s">
        <v>1555</v>
      </c>
      <c r="T419" s="59" t="s">
        <v>1555</v>
      </c>
      <c r="U419" s="59" t="s">
        <v>1555</v>
      </c>
      <c r="V419" s="59" t="s">
        <v>1903</v>
      </c>
      <c r="Z419" s="42" t="s">
        <v>1788</v>
      </c>
      <c r="AE419" s="42" t="s">
        <v>1710</v>
      </c>
      <c r="AF419" s="152" t="s">
        <v>666</v>
      </c>
      <c r="AG419" s="42" t="s">
        <v>416</v>
      </c>
      <c r="AH419" s="154" t="s">
        <v>267</v>
      </c>
      <c r="AO419" s="42" t="s">
        <v>403</v>
      </c>
      <c r="AP419" s="42" t="s">
        <v>403</v>
      </c>
      <c r="AQ419" s="42" t="s">
        <v>212</v>
      </c>
      <c r="AR419" s="42" t="s">
        <v>192</v>
      </c>
      <c r="AS419" s="42">
        <v>4</v>
      </c>
      <c r="AT419" s="42">
        <v>4</v>
      </c>
      <c r="AU419" s="42" t="s">
        <v>169</v>
      </c>
      <c r="AY419" s="63"/>
      <c r="BD419" s="42">
        <v>302.44</v>
      </c>
      <c r="BE419" s="42">
        <v>508.13</v>
      </c>
      <c r="EJ419" s="12"/>
      <c r="EL419" s="15"/>
      <c r="FT419" s="42">
        <v>23</v>
      </c>
    </row>
    <row r="420" spans="1:176" s="42" customFormat="1" x14ac:dyDescent="0.25">
      <c r="A420" s="42">
        <v>23</v>
      </c>
      <c r="B420" s="42" t="s">
        <v>400</v>
      </c>
      <c r="C420" s="42" t="s">
        <v>401</v>
      </c>
      <c r="D420" s="42">
        <v>2016</v>
      </c>
      <c r="E420" s="42">
        <v>2011</v>
      </c>
      <c r="F420" s="42" t="s">
        <v>423</v>
      </c>
      <c r="G420" s="42" t="s">
        <v>405</v>
      </c>
      <c r="H420" s="42">
        <v>38.92</v>
      </c>
      <c r="I420" s="42">
        <v>-76.150000000000006</v>
      </c>
      <c r="J420" s="42">
        <v>4.8</v>
      </c>
      <c r="P420" s="59">
        <v>3</v>
      </c>
      <c r="Q420" s="59"/>
      <c r="R420" s="59" t="s">
        <v>445</v>
      </c>
      <c r="S420" s="59" t="s">
        <v>1555</v>
      </c>
      <c r="T420" s="59" t="s">
        <v>1555</v>
      </c>
      <c r="U420" s="59" t="s">
        <v>1555</v>
      </c>
      <c r="V420" s="59" t="s">
        <v>1903</v>
      </c>
      <c r="Z420" s="42" t="s">
        <v>1788</v>
      </c>
      <c r="AE420" s="42" t="s">
        <v>1710</v>
      </c>
      <c r="AF420" s="152" t="s">
        <v>666</v>
      </c>
      <c r="AG420" s="42" t="s">
        <v>416</v>
      </c>
      <c r="AH420" s="154" t="s">
        <v>267</v>
      </c>
      <c r="AO420" s="42" t="s">
        <v>403</v>
      </c>
      <c r="AP420" s="42" t="s">
        <v>403</v>
      </c>
      <c r="AQ420" s="42" t="s">
        <v>212</v>
      </c>
      <c r="AR420" s="42" t="s">
        <v>192</v>
      </c>
      <c r="AS420" s="42">
        <v>4</v>
      </c>
      <c r="AT420" s="42">
        <v>4</v>
      </c>
      <c r="AU420" s="42" t="s">
        <v>169</v>
      </c>
      <c r="AY420" s="63"/>
      <c r="BD420" s="42">
        <v>624.39</v>
      </c>
      <c r="BE420" s="42">
        <v>716.8</v>
      </c>
      <c r="EJ420" s="12"/>
      <c r="EL420" s="15"/>
      <c r="FT420" s="42">
        <v>23</v>
      </c>
    </row>
    <row r="421" spans="1:176" s="42" customFormat="1" x14ac:dyDescent="0.25">
      <c r="A421" s="42">
        <v>23</v>
      </c>
      <c r="B421" s="42" t="s">
        <v>400</v>
      </c>
      <c r="C421" s="42" t="s">
        <v>401</v>
      </c>
      <c r="D421" s="42">
        <v>2016</v>
      </c>
      <c r="E421" s="42">
        <v>2011</v>
      </c>
      <c r="F421" s="42" t="s">
        <v>423</v>
      </c>
      <c r="G421" s="42" t="s">
        <v>405</v>
      </c>
      <c r="H421" s="42">
        <v>38.92</v>
      </c>
      <c r="I421" s="42">
        <v>-76.150000000000006</v>
      </c>
      <c r="J421" s="42">
        <v>4.8</v>
      </c>
      <c r="P421" s="59">
        <v>3</v>
      </c>
      <c r="Q421" s="59"/>
      <c r="R421" s="59" t="s">
        <v>434</v>
      </c>
      <c r="S421" s="59" t="s">
        <v>1555</v>
      </c>
      <c r="T421" s="59" t="s">
        <v>1555</v>
      </c>
      <c r="U421" s="59" t="s">
        <v>1555</v>
      </c>
      <c r="V421" s="59" t="s">
        <v>1903</v>
      </c>
      <c r="Z421" s="42" t="s">
        <v>1788</v>
      </c>
      <c r="AE421" s="42" t="s">
        <v>1710</v>
      </c>
      <c r="AF421" s="152" t="s">
        <v>666</v>
      </c>
      <c r="AG421" s="42" t="s">
        <v>416</v>
      </c>
      <c r="AH421" s="154" t="s">
        <v>267</v>
      </c>
      <c r="AO421" s="42" t="s">
        <v>403</v>
      </c>
      <c r="AP421" s="42" t="s">
        <v>403</v>
      </c>
      <c r="AQ421" s="42" t="s">
        <v>212</v>
      </c>
      <c r="AR421" s="42" t="s">
        <v>192</v>
      </c>
      <c r="AS421" s="42">
        <v>4</v>
      </c>
      <c r="AT421" s="42">
        <v>4</v>
      </c>
      <c r="AU421" s="42" t="s">
        <v>169</v>
      </c>
      <c r="AY421" s="63"/>
      <c r="BD421" s="42">
        <v>663.14</v>
      </c>
      <c r="BE421" s="42">
        <v>603.52</v>
      </c>
      <c r="EJ421" s="12"/>
      <c r="EL421" s="15"/>
      <c r="FT421" s="42">
        <v>23</v>
      </c>
    </row>
    <row r="422" spans="1:176" s="42" customFormat="1" x14ac:dyDescent="0.25">
      <c r="A422" s="42">
        <v>23</v>
      </c>
      <c r="B422" s="42" t="s">
        <v>400</v>
      </c>
      <c r="C422" s="42" t="s">
        <v>401</v>
      </c>
      <c r="D422" s="42">
        <v>2016</v>
      </c>
      <c r="E422" s="42">
        <v>2011</v>
      </c>
      <c r="F422" s="42" t="s">
        <v>423</v>
      </c>
      <c r="G422" s="42" t="s">
        <v>405</v>
      </c>
      <c r="H422" s="42">
        <v>38.92</v>
      </c>
      <c r="I422" s="42">
        <v>-76.150000000000006</v>
      </c>
      <c r="J422" s="42">
        <v>4.8</v>
      </c>
      <c r="P422" s="59">
        <v>3</v>
      </c>
      <c r="Q422" s="59"/>
      <c r="R422" s="59" t="s">
        <v>435</v>
      </c>
      <c r="S422" s="59" t="s">
        <v>1555</v>
      </c>
      <c r="T422" s="59" t="s">
        <v>1555</v>
      </c>
      <c r="U422" s="59" t="s">
        <v>1555</v>
      </c>
      <c r="V422" s="59" t="s">
        <v>1903</v>
      </c>
      <c r="Z422" s="42" t="s">
        <v>1788</v>
      </c>
      <c r="AE422" s="42" t="s">
        <v>1710</v>
      </c>
      <c r="AF422" s="152" t="s">
        <v>666</v>
      </c>
      <c r="AG422" s="42" t="s">
        <v>416</v>
      </c>
      <c r="AH422" s="154" t="s">
        <v>267</v>
      </c>
      <c r="AO422" s="42" t="s">
        <v>403</v>
      </c>
      <c r="AP422" s="42" t="s">
        <v>403</v>
      </c>
      <c r="AQ422" s="42" t="s">
        <v>212</v>
      </c>
      <c r="AR422" s="42" t="s">
        <v>192</v>
      </c>
      <c r="AS422" s="42">
        <v>4</v>
      </c>
      <c r="AT422" s="42">
        <v>4</v>
      </c>
      <c r="AU422" s="42" t="s">
        <v>169</v>
      </c>
      <c r="AY422" s="63"/>
      <c r="BD422" s="42">
        <v>147.43</v>
      </c>
      <c r="BE422" s="42">
        <v>138.47999999999999</v>
      </c>
      <c r="EJ422" s="12"/>
      <c r="EL422" s="15"/>
      <c r="FT422" s="42">
        <v>23</v>
      </c>
    </row>
    <row r="423" spans="1:176" s="42" customFormat="1" x14ac:dyDescent="0.25">
      <c r="A423" s="42">
        <v>23</v>
      </c>
      <c r="B423" s="42" t="s">
        <v>400</v>
      </c>
      <c r="C423" s="42" t="s">
        <v>401</v>
      </c>
      <c r="D423" s="42">
        <v>2016</v>
      </c>
      <c r="E423" s="42">
        <v>2011</v>
      </c>
      <c r="F423" s="42" t="s">
        <v>423</v>
      </c>
      <c r="G423" s="42" t="s">
        <v>405</v>
      </c>
      <c r="H423" s="42">
        <v>38.92</v>
      </c>
      <c r="I423" s="42">
        <v>-76.150000000000006</v>
      </c>
      <c r="J423" s="42">
        <v>4.8</v>
      </c>
      <c r="P423" s="59">
        <v>3</v>
      </c>
      <c r="Q423" s="59"/>
      <c r="R423" s="59" t="s">
        <v>447</v>
      </c>
      <c r="S423" s="59" t="s">
        <v>1555</v>
      </c>
      <c r="T423" s="59" t="s">
        <v>1555</v>
      </c>
      <c r="U423" s="59" t="s">
        <v>1555</v>
      </c>
      <c r="V423" s="59" t="s">
        <v>1903</v>
      </c>
      <c r="Z423" s="42" t="s">
        <v>1788</v>
      </c>
      <c r="AE423" s="42" t="s">
        <v>1710</v>
      </c>
      <c r="AF423" s="152" t="s">
        <v>666</v>
      </c>
      <c r="AG423" s="42" t="s">
        <v>416</v>
      </c>
      <c r="AH423" s="154" t="s">
        <v>267</v>
      </c>
      <c r="AO423" s="42" t="s">
        <v>403</v>
      </c>
      <c r="AP423" s="42" t="s">
        <v>403</v>
      </c>
      <c r="AQ423" s="42" t="s">
        <v>212</v>
      </c>
      <c r="AR423" s="42" t="s">
        <v>192</v>
      </c>
      <c r="AS423" s="42">
        <v>4</v>
      </c>
      <c r="AT423" s="42">
        <v>4</v>
      </c>
      <c r="AU423" s="42" t="s">
        <v>169</v>
      </c>
      <c r="AY423" s="63"/>
      <c r="BD423" s="42">
        <v>108.67</v>
      </c>
      <c r="BE423" s="42">
        <v>96.75</v>
      </c>
      <c r="EJ423" s="12"/>
      <c r="EL423" s="15"/>
      <c r="FT423" s="42">
        <v>23</v>
      </c>
    </row>
    <row r="424" spans="1:176" s="38" customFormat="1" x14ac:dyDescent="0.25">
      <c r="A424" s="38">
        <v>24</v>
      </c>
      <c r="B424" s="38" t="s">
        <v>450</v>
      </c>
      <c r="C424" s="38" t="s">
        <v>451</v>
      </c>
      <c r="D424" s="38">
        <v>2013</v>
      </c>
      <c r="E424" s="38">
        <v>2003</v>
      </c>
      <c r="F424" s="38" t="s">
        <v>305</v>
      </c>
      <c r="G424" s="38" t="s">
        <v>452</v>
      </c>
      <c r="H424" s="38">
        <v>31.48</v>
      </c>
      <c r="I424" s="38">
        <v>-83.53</v>
      </c>
      <c r="J424" s="38">
        <v>108.4</v>
      </c>
      <c r="K424" s="38">
        <v>19.600000000000001</v>
      </c>
      <c r="L424" s="38">
        <v>18.600000000000001</v>
      </c>
      <c r="M424" s="38">
        <v>976</v>
      </c>
      <c r="N424" s="38">
        <v>1192</v>
      </c>
      <c r="P424" s="57">
        <v>2</v>
      </c>
      <c r="Q424" s="57"/>
      <c r="R424" s="57"/>
      <c r="S424" s="57" t="s">
        <v>1556</v>
      </c>
      <c r="T424" s="57" t="s">
        <v>1556</v>
      </c>
      <c r="U424" s="57" t="s">
        <v>1556</v>
      </c>
      <c r="V424" s="57" t="s">
        <v>1904</v>
      </c>
      <c r="W424" s="38">
        <f t="shared" ref="W424:W432" si="56">(1.55+1.78)/2</f>
        <v>1.665</v>
      </c>
      <c r="Z424" s="38" t="s">
        <v>210</v>
      </c>
      <c r="AD424" s="38" t="s">
        <v>1485</v>
      </c>
      <c r="AE424" s="38" t="s">
        <v>1730</v>
      </c>
      <c r="AF424" s="152" t="s">
        <v>1763</v>
      </c>
      <c r="AG424" s="38" t="s">
        <v>895</v>
      </c>
      <c r="AH424" s="155" t="s">
        <v>160</v>
      </c>
      <c r="AI424" s="38" t="s">
        <v>454</v>
      </c>
      <c r="AJ424" s="38" t="s">
        <v>454</v>
      </c>
      <c r="AK424" s="38" t="s">
        <v>212</v>
      </c>
      <c r="AL424" s="38" t="s">
        <v>269</v>
      </c>
      <c r="AM424" s="38" t="s">
        <v>453</v>
      </c>
      <c r="AN424" s="38" t="s">
        <v>587</v>
      </c>
      <c r="AO424" s="38" t="s">
        <v>382</v>
      </c>
      <c r="AP424" s="38" t="s">
        <v>382</v>
      </c>
      <c r="AQ424" s="38" t="s">
        <v>212</v>
      </c>
      <c r="AR424" s="38" t="s">
        <v>147</v>
      </c>
      <c r="AS424" s="38">
        <v>4</v>
      </c>
      <c r="AT424" s="38">
        <v>4</v>
      </c>
      <c r="AU424" s="38" t="s">
        <v>169</v>
      </c>
      <c r="AW424" s="38">
        <f>(4.4+7.5)/2*1000</f>
        <v>5950</v>
      </c>
      <c r="AX424" s="38">
        <f>AW424/(117+149)*2</f>
        <v>44.736842105263158</v>
      </c>
      <c r="AY424" s="64"/>
      <c r="BD424" s="38">
        <f>1.3*1000</f>
        <v>1300</v>
      </c>
      <c r="BE424" s="38">
        <f>3.2*1000</f>
        <v>3200</v>
      </c>
      <c r="BG424" s="38">
        <f>(1.64+1.65+1.63+1.65+1.69+1.73+1.66)/7</f>
        <v>1.6642857142857144</v>
      </c>
      <c r="BH424" s="38">
        <f>(1.65+1.63+1.61+1.64+1.65+1.71+1.64)/7</f>
        <v>1.6471428571428572</v>
      </c>
      <c r="BJ424" s="38">
        <f>4.6/1000*100</f>
        <v>0.45999999999999996</v>
      </c>
      <c r="BK424" s="38">
        <v>0.74</v>
      </c>
      <c r="BL424" s="38" t="s">
        <v>709</v>
      </c>
      <c r="BM424" s="38">
        <v>0.2</v>
      </c>
      <c r="BN424" s="38">
        <v>0.5</v>
      </c>
      <c r="BO424" s="38" t="s">
        <v>272</v>
      </c>
      <c r="CT424" s="38">
        <f>(24.8+17.7)/2</f>
        <v>21.25</v>
      </c>
      <c r="CU424" s="38">
        <f>(23.1+21)/2</f>
        <v>22.05</v>
      </c>
      <c r="DI424" s="38">
        <v>13.8</v>
      </c>
      <c r="DJ424" s="38">
        <v>14.1</v>
      </c>
      <c r="DK424" s="188">
        <v>37599</v>
      </c>
      <c r="EJ424" s="12"/>
      <c r="EL424" s="15"/>
      <c r="FR424" s="38" t="s">
        <v>806</v>
      </c>
      <c r="FT424" s="38">
        <v>24</v>
      </c>
    </row>
    <row r="425" spans="1:176" s="38" customFormat="1" x14ac:dyDescent="0.25">
      <c r="A425" s="38">
        <v>24</v>
      </c>
      <c r="B425" s="38" t="s">
        <v>450</v>
      </c>
      <c r="C425" s="38" t="s">
        <v>451</v>
      </c>
      <c r="D425" s="38">
        <v>2013</v>
      </c>
      <c r="E425" s="38">
        <v>2003</v>
      </c>
      <c r="F425" s="38" t="s">
        <v>305</v>
      </c>
      <c r="G425" s="38" t="s">
        <v>452</v>
      </c>
      <c r="H425" s="38">
        <v>31.48</v>
      </c>
      <c r="I425" s="38">
        <v>-83.53</v>
      </c>
      <c r="J425" s="38">
        <v>108.4</v>
      </c>
      <c r="K425" s="38">
        <v>19.600000000000001</v>
      </c>
      <c r="L425" s="38">
        <v>18.600000000000001</v>
      </c>
      <c r="M425" s="38">
        <v>976</v>
      </c>
      <c r="N425" s="38">
        <v>1192</v>
      </c>
      <c r="P425" s="57">
        <v>2</v>
      </c>
      <c r="Q425" s="57"/>
      <c r="R425" s="57"/>
      <c r="S425" s="57" t="s">
        <v>1556</v>
      </c>
      <c r="T425" s="57" t="s">
        <v>1556</v>
      </c>
      <c r="U425" s="57" t="s">
        <v>1556</v>
      </c>
      <c r="V425" s="57" t="s">
        <v>1904</v>
      </c>
      <c r="W425" s="38">
        <f t="shared" si="56"/>
        <v>1.665</v>
      </c>
      <c r="Z425" s="38" t="s">
        <v>210</v>
      </c>
      <c r="AD425" s="38" t="s">
        <v>1485</v>
      </c>
      <c r="AE425" s="38" t="s">
        <v>1710</v>
      </c>
      <c r="AF425" s="152" t="s">
        <v>666</v>
      </c>
      <c r="AG425" s="38" t="s">
        <v>895</v>
      </c>
      <c r="AH425" s="155" t="s">
        <v>160</v>
      </c>
      <c r="AI425" s="38" t="s">
        <v>454</v>
      </c>
      <c r="AJ425" s="38" t="s">
        <v>454</v>
      </c>
      <c r="AK425" s="38" t="s">
        <v>212</v>
      </c>
      <c r="AL425" s="38" t="s">
        <v>269</v>
      </c>
      <c r="AM425" s="38" t="s">
        <v>453</v>
      </c>
      <c r="AN425" s="38" t="s">
        <v>587</v>
      </c>
      <c r="AO425" s="38" t="s">
        <v>382</v>
      </c>
      <c r="AP425" s="38" t="s">
        <v>382</v>
      </c>
      <c r="AQ425" s="38" t="s">
        <v>212</v>
      </c>
      <c r="AR425" s="38" t="s">
        <v>147</v>
      </c>
      <c r="AS425" s="38">
        <v>4</v>
      </c>
      <c r="AT425" s="38">
        <v>4</v>
      </c>
      <c r="AU425" s="38" t="s">
        <v>169</v>
      </c>
      <c r="AW425" s="38">
        <f>8.8/2*1000</f>
        <v>4400</v>
      </c>
      <c r="AX425" s="38">
        <f>AW425/181*2</f>
        <v>48.618784530386741</v>
      </c>
      <c r="AY425" s="64"/>
      <c r="BD425" s="38">
        <f t="shared" ref="BD425:BD426" si="57">1.3*1000</f>
        <v>1300</v>
      </c>
      <c r="BE425" s="38">
        <f>2.4*1000</f>
        <v>2400</v>
      </c>
      <c r="BJ425" s="38">
        <f t="shared" ref="BJ425:BJ426" si="58">4.6/1000*100</f>
        <v>0.45999999999999996</v>
      </c>
      <c r="BK425" s="38">
        <v>0.7</v>
      </c>
      <c r="BL425" s="38" t="s">
        <v>709</v>
      </c>
      <c r="BM425" s="38">
        <v>0.2</v>
      </c>
      <c r="BN425" s="38">
        <v>0.5</v>
      </c>
      <c r="BO425" s="38" t="s">
        <v>272</v>
      </c>
      <c r="DI425" s="38">
        <v>13.8</v>
      </c>
      <c r="DJ425" s="38">
        <v>14.8</v>
      </c>
      <c r="DK425" s="188">
        <v>37748</v>
      </c>
      <c r="EJ425" s="12"/>
      <c r="EL425" s="15"/>
      <c r="FR425" s="38" t="s">
        <v>806</v>
      </c>
      <c r="FT425" s="38">
        <v>24</v>
      </c>
    </row>
    <row r="426" spans="1:176" s="38" customFormat="1" x14ac:dyDescent="0.25">
      <c r="A426" s="38">
        <v>24</v>
      </c>
      <c r="B426" s="38" t="s">
        <v>450</v>
      </c>
      <c r="C426" s="38" t="s">
        <v>451</v>
      </c>
      <c r="D426" s="38">
        <v>2013</v>
      </c>
      <c r="E426" s="38">
        <v>2003</v>
      </c>
      <c r="F426" s="38" t="s">
        <v>305</v>
      </c>
      <c r="G426" s="38" t="s">
        <v>452</v>
      </c>
      <c r="H426" s="38">
        <v>31.48</v>
      </c>
      <c r="I426" s="38">
        <v>-83.53</v>
      </c>
      <c r="J426" s="38">
        <v>108.4</v>
      </c>
      <c r="K426" s="38">
        <v>19.600000000000001</v>
      </c>
      <c r="L426" s="38">
        <v>18.600000000000001</v>
      </c>
      <c r="M426" s="38">
        <v>976</v>
      </c>
      <c r="N426" s="38">
        <v>1192</v>
      </c>
      <c r="P426" s="57">
        <v>2</v>
      </c>
      <c r="Q426" s="57"/>
      <c r="R426" s="57"/>
      <c r="S426" s="57" t="s">
        <v>1556</v>
      </c>
      <c r="T426" s="57" t="s">
        <v>1556</v>
      </c>
      <c r="U426" s="57" t="s">
        <v>1556</v>
      </c>
      <c r="V426" s="57" t="s">
        <v>1904</v>
      </c>
      <c r="W426" s="38">
        <f t="shared" si="56"/>
        <v>1.665</v>
      </c>
      <c r="Z426" s="38" t="s">
        <v>210</v>
      </c>
      <c r="AD426" s="38" t="s">
        <v>1485</v>
      </c>
      <c r="AE426" s="38" t="s">
        <v>1701</v>
      </c>
      <c r="AF426" s="152" t="s">
        <v>666</v>
      </c>
      <c r="AG426" s="38" t="s">
        <v>895</v>
      </c>
      <c r="AH426" s="155" t="s">
        <v>160</v>
      </c>
      <c r="AI426" s="38" t="s">
        <v>454</v>
      </c>
      <c r="AJ426" s="38" t="s">
        <v>454</v>
      </c>
      <c r="AK426" s="38" t="s">
        <v>212</v>
      </c>
      <c r="AL426" s="38" t="s">
        <v>269</v>
      </c>
      <c r="AM426" s="38" t="s">
        <v>453</v>
      </c>
      <c r="AN426" s="38" t="s">
        <v>587</v>
      </c>
      <c r="AO426" s="38" t="s">
        <v>382</v>
      </c>
      <c r="AP426" s="38" t="s">
        <v>382</v>
      </c>
      <c r="AQ426" s="38" t="s">
        <v>212</v>
      </c>
      <c r="AR426" s="38" t="s">
        <v>147</v>
      </c>
      <c r="AS426" s="38">
        <v>4</v>
      </c>
      <c r="AT426" s="38">
        <v>4</v>
      </c>
      <c r="AU426" s="38" t="s">
        <v>169</v>
      </c>
      <c r="AW426" s="38">
        <f>5/2*1000</f>
        <v>2500</v>
      </c>
      <c r="AX426" s="38">
        <f>AW426/121*2</f>
        <v>41.32231404958678</v>
      </c>
      <c r="AY426" s="64"/>
      <c r="BD426" s="38">
        <f t="shared" si="57"/>
        <v>1300</v>
      </c>
      <c r="BE426" s="38">
        <f>1.3*1000</f>
        <v>1300</v>
      </c>
      <c r="BJ426" s="38">
        <f t="shared" si="58"/>
        <v>0.45999999999999996</v>
      </c>
      <c r="BK426" s="38">
        <v>0.59</v>
      </c>
      <c r="BL426" s="38" t="s">
        <v>709</v>
      </c>
      <c r="BM426" s="38">
        <v>0.2</v>
      </c>
      <c r="BN426" s="38">
        <v>0.4</v>
      </c>
      <c r="BO426" s="38" t="s">
        <v>272</v>
      </c>
      <c r="DI426" s="38">
        <v>12.8</v>
      </c>
      <c r="DJ426" s="38">
        <v>13.1</v>
      </c>
      <c r="DK426" s="188">
        <v>37875</v>
      </c>
      <c r="EJ426" s="12"/>
      <c r="EL426" s="15"/>
      <c r="FR426" s="38" t="s">
        <v>806</v>
      </c>
      <c r="FT426" s="38">
        <v>24</v>
      </c>
    </row>
    <row r="427" spans="1:176" s="38" customFormat="1" x14ac:dyDescent="0.25">
      <c r="A427" s="38">
        <v>24</v>
      </c>
      <c r="B427" s="38" t="s">
        <v>450</v>
      </c>
      <c r="C427" s="38" t="s">
        <v>451</v>
      </c>
      <c r="D427" s="38">
        <v>2013</v>
      </c>
      <c r="E427" s="38">
        <v>2003</v>
      </c>
      <c r="F427" s="38" t="s">
        <v>305</v>
      </c>
      <c r="G427" s="38" t="s">
        <v>452</v>
      </c>
      <c r="H427" s="38">
        <v>31.48</v>
      </c>
      <c r="I427" s="38">
        <v>-83.53</v>
      </c>
      <c r="J427" s="38">
        <v>108.4</v>
      </c>
      <c r="K427" s="38">
        <v>19.600000000000001</v>
      </c>
      <c r="L427" s="38">
        <v>18.600000000000001</v>
      </c>
      <c r="M427" s="38">
        <v>976</v>
      </c>
      <c r="N427" s="38">
        <v>1192</v>
      </c>
      <c r="P427" s="57">
        <v>2</v>
      </c>
      <c r="Q427" s="57"/>
      <c r="R427" s="57"/>
      <c r="S427" s="57" t="s">
        <v>1556</v>
      </c>
      <c r="T427" s="57" t="s">
        <v>1556</v>
      </c>
      <c r="U427" s="57" t="s">
        <v>1556</v>
      </c>
      <c r="V427" s="57" t="s">
        <v>1904</v>
      </c>
      <c r="W427" s="38">
        <f t="shared" si="56"/>
        <v>1.665</v>
      </c>
      <c r="Z427" s="38" t="s">
        <v>210</v>
      </c>
      <c r="AD427" s="38" t="s">
        <v>1485</v>
      </c>
      <c r="AE427" s="38" t="s">
        <v>1730</v>
      </c>
      <c r="AF427" s="152" t="s">
        <v>1763</v>
      </c>
      <c r="AG427" s="38" t="s">
        <v>895</v>
      </c>
      <c r="AH427" s="155" t="s">
        <v>160</v>
      </c>
      <c r="AI427" s="38" t="s">
        <v>454</v>
      </c>
      <c r="AJ427" s="38" t="s">
        <v>454</v>
      </c>
      <c r="AK427" s="38" t="s">
        <v>212</v>
      </c>
      <c r="AL427" s="38" t="s">
        <v>269</v>
      </c>
      <c r="AM427" s="38" t="s">
        <v>453</v>
      </c>
      <c r="AN427" s="38" t="s">
        <v>587</v>
      </c>
      <c r="AO427" s="38" t="s">
        <v>456</v>
      </c>
      <c r="AP427" s="38" t="s">
        <v>456</v>
      </c>
      <c r="AQ427" s="38" t="s">
        <v>212</v>
      </c>
      <c r="AR427" s="38" t="s">
        <v>147</v>
      </c>
      <c r="AS427" s="38">
        <v>4</v>
      </c>
      <c r="AT427" s="38">
        <v>4</v>
      </c>
      <c r="AU427" s="38" t="s">
        <v>169</v>
      </c>
      <c r="AW427" s="38">
        <f>(4.2+6.9)/2*1000</f>
        <v>5550.0000000000009</v>
      </c>
      <c r="AX427" s="38">
        <f>AW427/(116+137)*2</f>
        <v>43.873517786561273</v>
      </c>
      <c r="AY427" s="64"/>
      <c r="BD427" s="38">
        <f>3.4*1000</f>
        <v>3400</v>
      </c>
      <c r="BE427" s="38">
        <f>3.1*1000</f>
        <v>3100</v>
      </c>
      <c r="BG427" s="38">
        <v>1.65</v>
      </c>
      <c r="BH427" s="38">
        <v>1.63</v>
      </c>
      <c r="BJ427" s="38">
        <v>0.5</v>
      </c>
      <c r="BK427" s="38">
        <v>0.73</v>
      </c>
      <c r="BL427" s="38" t="s">
        <v>709</v>
      </c>
      <c r="BM427" s="38">
        <v>0.3</v>
      </c>
      <c r="BN427" s="38">
        <v>0.5</v>
      </c>
      <c r="BO427" s="38" t="s">
        <v>272</v>
      </c>
      <c r="CT427" s="38">
        <f>(28.5+37.6)/2</f>
        <v>33.049999999999997</v>
      </c>
      <c r="CU427" s="38">
        <f>(27.2+36.5)/2</f>
        <v>31.85</v>
      </c>
      <c r="DI427" s="38">
        <v>12.9</v>
      </c>
      <c r="DJ427" s="38">
        <v>13.8</v>
      </c>
      <c r="DK427" s="188">
        <v>37957</v>
      </c>
      <c r="EJ427" s="12"/>
      <c r="EL427" s="15"/>
      <c r="FR427" s="38" t="s">
        <v>806</v>
      </c>
      <c r="FT427" s="38">
        <v>24</v>
      </c>
    </row>
    <row r="428" spans="1:176" s="38" customFormat="1" x14ac:dyDescent="0.25">
      <c r="A428" s="38">
        <v>24</v>
      </c>
      <c r="B428" s="38" t="s">
        <v>450</v>
      </c>
      <c r="C428" s="38" t="s">
        <v>451</v>
      </c>
      <c r="D428" s="38">
        <v>2013</v>
      </c>
      <c r="E428" s="38">
        <v>2003</v>
      </c>
      <c r="F428" s="38" t="s">
        <v>305</v>
      </c>
      <c r="G428" s="38" t="s">
        <v>452</v>
      </c>
      <c r="H428" s="38">
        <v>31.48</v>
      </c>
      <c r="I428" s="38">
        <v>-83.53</v>
      </c>
      <c r="J428" s="38">
        <v>108.4</v>
      </c>
      <c r="K428" s="38">
        <v>19.600000000000001</v>
      </c>
      <c r="L428" s="38">
        <v>18.600000000000001</v>
      </c>
      <c r="M428" s="38">
        <v>976</v>
      </c>
      <c r="N428" s="38">
        <v>1192</v>
      </c>
      <c r="P428" s="57">
        <v>2</v>
      </c>
      <c r="Q428" s="57"/>
      <c r="R428" s="57"/>
      <c r="S428" s="57" t="s">
        <v>1556</v>
      </c>
      <c r="T428" s="57" t="s">
        <v>1556</v>
      </c>
      <c r="U428" s="57" t="s">
        <v>1556</v>
      </c>
      <c r="V428" s="57" t="s">
        <v>1904</v>
      </c>
      <c r="W428" s="38">
        <f t="shared" si="56"/>
        <v>1.665</v>
      </c>
      <c r="Z428" s="38" t="s">
        <v>210</v>
      </c>
      <c r="AD428" s="38" t="s">
        <v>1485</v>
      </c>
      <c r="AE428" s="38" t="s">
        <v>1710</v>
      </c>
      <c r="AF428" s="152" t="s">
        <v>666</v>
      </c>
      <c r="AG428" s="38" t="s">
        <v>895</v>
      </c>
      <c r="AH428" s="155" t="s">
        <v>160</v>
      </c>
      <c r="AI428" s="38" t="s">
        <v>454</v>
      </c>
      <c r="AJ428" s="38" t="s">
        <v>454</v>
      </c>
      <c r="AK428" s="38" t="s">
        <v>212</v>
      </c>
      <c r="AL428" s="38" t="s">
        <v>269</v>
      </c>
      <c r="AM428" s="38" t="s">
        <v>453</v>
      </c>
      <c r="AN428" s="38" t="s">
        <v>587</v>
      </c>
      <c r="AO428" s="38" t="s">
        <v>456</v>
      </c>
      <c r="AP428" s="38" t="s">
        <v>456</v>
      </c>
      <c r="AQ428" s="38" t="s">
        <v>212</v>
      </c>
      <c r="AR428" s="38" t="s">
        <v>147</v>
      </c>
      <c r="AS428" s="38">
        <v>4</v>
      </c>
      <c r="AT428" s="38">
        <v>4</v>
      </c>
      <c r="AU428" s="38" t="s">
        <v>169</v>
      </c>
      <c r="AW428" s="38">
        <f>9.8/2*1000</f>
        <v>4900</v>
      </c>
      <c r="AX428" s="38">
        <f>AW428/193*2</f>
        <v>50.777202072538863</v>
      </c>
      <c r="AY428" s="64"/>
      <c r="BD428" s="38">
        <f t="shared" ref="BD428:BD429" si="59">3.4*1000</f>
        <v>3400</v>
      </c>
      <c r="BE428" s="38">
        <f>3.8*1000</f>
        <v>3800</v>
      </c>
      <c r="BJ428" s="38">
        <v>0.5</v>
      </c>
      <c r="BK428" s="38">
        <v>0.74</v>
      </c>
      <c r="BL428" s="38" t="s">
        <v>709</v>
      </c>
      <c r="BM428" s="38">
        <v>0.3</v>
      </c>
      <c r="BN428" s="38">
        <v>0.5</v>
      </c>
      <c r="BO428" s="38" t="s">
        <v>272</v>
      </c>
      <c r="DI428" s="38">
        <v>13.2</v>
      </c>
      <c r="DJ428" s="38">
        <v>13.4</v>
      </c>
      <c r="DK428" s="188">
        <v>38113</v>
      </c>
      <c r="EJ428" s="12"/>
      <c r="EL428" s="15"/>
      <c r="FR428" s="38" t="s">
        <v>806</v>
      </c>
      <c r="FT428" s="38">
        <v>24</v>
      </c>
    </row>
    <row r="429" spans="1:176" s="38" customFormat="1" x14ac:dyDescent="0.25">
      <c r="A429" s="38">
        <v>24</v>
      </c>
      <c r="B429" s="38" t="s">
        <v>450</v>
      </c>
      <c r="C429" s="38" t="s">
        <v>451</v>
      </c>
      <c r="D429" s="38">
        <v>2013</v>
      </c>
      <c r="E429" s="38">
        <v>2003</v>
      </c>
      <c r="F429" s="38" t="s">
        <v>305</v>
      </c>
      <c r="G429" s="38" t="s">
        <v>452</v>
      </c>
      <c r="H429" s="38">
        <v>31.48</v>
      </c>
      <c r="I429" s="38">
        <v>-83.53</v>
      </c>
      <c r="J429" s="38">
        <v>108.4</v>
      </c>
      <c r="K429" s="38">
        <v>19.600000000000001</v>
      </c>
      <c r="L429" s="38">
        <v>18.600000000000001</v>
      </c>
      <c r="M429" s="38">
        <v>976</v>
      </c>
      <c r="N429" s="38">
        <v>1192</v>
      </c>
      <c r="P429" s="57">
        <v>2</v>
      </c>
      <c r="Q429" s="57"/>
      <c r="R429" s="57"/>
      <c r="S429" s="57" t="s">
        <v>1556</v>
      </c>
      <c r="T429" s="57" t="s">
        <v>1556</v>
      </c>
      <c r="U429" s="57" t="s">
        <v>1556</v>
      </c>
      <c r="V429" s="57" t="s">
        <v>1904</v>
      </c>
      <c r="W429" s="38">
        <f t="shared" si="56"/>
        <v>1.665</v>
      </c>
      <c r="Z429" s="38" t="s">
        <v>210</v>
      </c>
      <c r="AD429" s="38" t="s">
        <v>1485</v>
      </c>
      <c r="AE429" s="38" t="s">
        <v>1701</v>
      </c>
      <c r="AF429" s="152" t="s">
        <v>666</v>
      </c>
      <c r="AG429" s="38" t="s">
        <v>895</v>
      </c>
      <c r="AH429" s="155" t="s">
        <v>160</v>
      </c>
      <c r="AI429" s="38" t="s">
        <v>454</v>
      </c>
      <c r="AJ429" s="38" t="s">
        <v>454</v>
      </c>
      <c r="AK429" s="38" t="s">
        <v>212</v>
      </c>
      <c r="AL429" s="38" t="s">
        <v>269</v>
      </c>
      <c r="AM429" s="38" t="s">
        <v>453</v>
      </c>
      <c r="AN429" s="38" t="s">
        <v>587</v>
      </c>
      <c r="AO429" s="38" t="s">
        <v>456</v>
      </c>
      <c r="AP429" s="38" t="s">
        <v>456</v>
      </c>
      <c r="AQ429" s="38" t="s">
        <v>212</v>
      </c>
      <c r="AR429" s="38" t="s">
        <v>147</v>
      </c>
      <c r="AS429" s="38">
        <v>4</v>
      </c>
      <c r="AT429" s="38">
        <v>4</v>
      </c>
      <c r="AU429" s="38" t="s">
        <v>169</v>
      </c>
      <c r="AW429" s="38">
        <f>3.3/2*1000</f>
        <v>1650</v>
      </c>
      <c r="AX429" s="38">
        <f>AW429/83*2</f>
        <v>39.75903614457831</v>
      </c>
      <c r="AY429" s="64"/>
      <c r="BD429" s="38">
        <f t="shared" si="59"/>
        <v>3400</v>
      </c>
      <c r="BE429" s="38">
        <f>2.5*1000</f>
        <v>2500</v>
      </c>
      <c r="BJ429" s="38">
        <v>0.5</v>
      </c>
      <c r="BK429" s="38">
        <v>0.54</v>
      </c>
      <c r="BL429" s="38" t="s">
        <v>709</v>
      </c>
      <c r="BM429" s="38">
        <v>0.3</v>
      </c>
      <c r="BN429" s="38">
        <v>0.3</v>
      </c>
      <c r="BO429" s="38" t="s">
        <v>272</v>
      </c>
      <c r="DI429" s="38">
        <v>14.2</v>
      </c>
      <c r="DJ429" s="38">
        <v>15</v>
      </c>
      <c r="DK429" s="188">
        <v>38232</v>
      </c>
      <c r="EJ429" s="12"/>
      <c r="EL429" s="15"/>
      <c r="FR429" s="38" t="s">
        <v>806</v>
      </c>
      <c r="FT429" s="38">
        <v>24</v>
      </c>
    </row>
    <row r="430" spans="1:176" s="38" customFormat="1" x14ac:dyDescent="0.25">
      <c r="A430" s="38">
        <v>24</v>
      </c>
      <c r="B430" s="38" t="s">
        <v>450</v>
      </c>
      <c r="C430" s="38" t="s">
        <v>451</v>
      </c>
      <c r="D430" s="38">
        <v>2013</v>
      </c>
      <c r="E430" s="38">
        <v>2003</v>
      </c>
      <c r="F430" s="38" t="s">
        <v>305</v>
      </c>
      <c r="G430" s="38" t="s">
        <v>452</v>
      </c>
      <c r="H430" s="38">
        <v>31.48</v>
      </c>
      <c r="I430" s="38">
        <v>-83.53</v>
      </c>
      <c r="J430" s="38">
        <v>108.4</v>
      </c>
      <c r="K430" s="38">
        <v>19.600000000000001</v>
      </c>
      <c r="L430" s="38">
        <v>18.600000000000001</v>
      </c>
      <c r="M430" s="38">
        <v>976</v>
      </c>
      <c r="N430" s="38">
        <v>1192</v>
      </c>
      <c r="P430" s="57">
        <v>2</v>
      </c>
      <c r="Q430" s="57"/>
      <c r="R430" s="57"/>
      <c r="S430" s="57" t="s">
        <v>1556</v>
      </c>
      <c r="T430" s="57" t="s">
        <v>1556</v>
      </c>
      <c r="U430" s="57" t="s">
        <v>1556</v>
      </c>
      <c r="V430" s="57" t="s">
        <v>1904</v>
      </c>
      <c r="W430" s="38">
        <f t="shared" si="56"/>
        <v>1.665</v>
      </c>
      <c r="Z430" s="38" t="s">
        <v>210</v>
      </c>
      <c r="AD430" s="38" t="s">
        <v>1485</v>
      </c>
      <c r="AE430" s="38" t="s">
        <v>1730</v>
      </c>
      <c r="AF430" s="152" t="s">
        <v>1763</v>
      </c>
      <c r="AG430" s="38" t="s">
        <v>895</v>
      </c>
      <c r="AH430" s="155" t="s">
        <v>160</v>
      </c>
      <c r="AI430" s="38" t="s">
        <v>454</v>
      </c>
      <c r="AJ430" s="38" t="s">
        <v>454</v>
      </c>
      <c r="AK430" s="38" t="s">
        <v>212</v>
      </c>
      <c r="AL430" s="38" t="s">
        <v>269</v>
      </c>
      <c r="AM430" s="38" t="s">
        <v>453</v>
      </c>
      <c r="AN430" s="38" t="s">
        <v>587</v>
      </c>
      <c r="AO430" s="38" t="s">
        <v>455</v>
      </c>
      <c r="AP430" s="38" t="s">
        <v>455</v>
      </c>
      <c r="AQ430" s="38" t="s">
        <v>212</v>
      </c>
      <c r="AR430" s="38" t="s">
        <v>147</v>
      </c>
      <c r="AS430" s="38">
        <v>4</v>
      </c>
      <c r="AT430" s="38">
        <v>4</v>
      </c>
      <c r="AU430" s="38" t="s">
        <v>169</v>
      </c>
      <c r="AW430" s="38">
        <f>(4.9+7.6)/2*1000</f>
        <v>6250</v>
      </c>
      <c r="AX430" s="38">
        <f>AW430/(116+171)*2</f>
        <v>43.554006968641112</v>
      </c>
      <c r="AY430" s="64"/>
      <c r="BD430" s="38">
        <f>3.9*1000</f>
        <v>3900</v>
      </c>
      <c r="BE430" s="38">
        <f>4.6*1000</f>
        <v>4600</v>
      </c>
      <c r="BG430" s="38">
        <v>1.73</v>
      </c>
      <c r="BH430" s="38">
        <v>1.71</v>
      </c>
      <c r="BJ430" s="38">
        <v>0.56000000000000005</v>
      </c>
      <c r="BK430" s="38">
        <v>0.7</v>
      </c>
      <c r="BL430" s="38" t="s">
        <v>709</v>
      </c>
      <c r="BM430" s="38">
        <v>0.3</v>
      </c>
      <c r="BN430" s="38">
        <v>1.5</v>
      </c>
      <c r="BO430" s="38" t="s">
        <v>272</v>
      </c>
      <c r="CT430" s="38">
        <f>(27+22.8+18)/3</f>
        <v>22.599999999999998</v>
      </c>
      <c r="CU430" s="38">
        <f>(33.1+24.1+19.4)/3</f>
        <v>25.533333333333331</v>
      </c>
      <c r="DI430" s="38">
        <v>18.899999999999999</v>
      </c>
      <c r="DJ430" s="38">
        <v>19.2</v>
      </c>
      <c r="DK430" s="188">
        <v>38505</v>
      </c>
      <c r="EJ430" s="12"/>
      <c r="EL430" s="15"/>
      <c r="FR430" s="38" t="s">
        <v>806</v>
      </c>
      <c r="FT430" s="38">
        <v>24</v>
      </c>
    </row>
    <row r="431" spans="1:176" s="38" customFormat="1" x14ac:dyDescent="0.25">
      <c r="A431" s="38">
        <v>24</v>
      </c>
      <c r="B431" s="38" t="s">
        <v>450</v>
      </c>
      <c r="C431" s="38" t="s">
        <v>451</v>
      </c>
      <c r="D431" s="38">
        <v>2013</v>
      </c>
      <c r="E431" s="38">
        <v>2003</v>
      </c>
      <c r="F431" s="38" t="s">
        <v>305</v>
      </c>
      <c r="G431" s="38" t="s">
        <v>452</v>
      </c>
      <c r="H431" s="38">
        <v>31.48</v>
      </c>
      <c r="I431" s="38">
        <v>-83.53</v>
      </c>
      <c r="J431" s="38">
        <v>108.4</v>
      </c>
      <c r="K431" s="38">
        <v>19.600000000000001</v>
      </c>
      <c r="L431" s="38">
        <v>18.600000000000001</v>
      </c>
      <c r="M431" s="38">
        <v>976</v>
      </c>
      <c r="N431" s="38">
        <v>1192</v>
      </c>
      <c r="P431" s="57">
        <v>2</v>
      </c>
      <c r="Q431" s="57"/>
      <c r="R431" s="57"/>
      <c r="S431" s="57" t="s">
        <v>1556</v>
      </c>
      <c r="T431" s="57" t="s">
        <v>1556</v>
      </c>
      <c r="U431" s="57" t="s">
        <v>1556</v>
      </c>
      <c r="V431" s="57" t="s">
        <v>1904</v>
      </c>
      <c r="W431" s="38">
        <f t="shared" si="56"/>
        <v>1.665</v>
      </c>
      <c r="Z431" s="38" t="s">
        <v>210</v>
      </c>
      <c r="AD431" s="38" t="s">
        <v>1485</v>
      </c>
      <c r="AE431" s="38" t="s">
        <v>1710</v>
      </c>
      <c r="AF431" s="152" t="s">
        <v>666</v>
      </c>
      <c r="AG431" s="38" t="s">
        <v>895</v>
      </c>
      <c r="AH431" s="155" t="s">
        <v>160</v>
      </c>
      <c r="AI431" s="38" t="s">
        <v>454</v>
      </c>
      <c r="AJ431" s="38" t="s">
        <v>454</v>
      </c>
      <c r="AK431" s="38" t="s">
        <v>212</v>
      </c>
      <c r="AL431" s="38" t="s">
        <v>269</v>
      </c>
      <c r="AM431" s="38" t="s">
        <v>453</v>
      </c>
      <c r="AN431" s="38" t="s">
        <v>587</v>
      </c>
      <c r="AO431" s="38" t="s">
        <v>455</v>
      </c>
      <c r="AP431" s="38" t="s">
        <v>455</v>
      </c>
      <c r="AQ431" s="38" t="s">
        <v>212</v>
      </c>
      <c r="AR431" s="38" t="s">
        <v>147</v>
      </c>
      <c r="AS431" s="38">
        <v>4</v>
      </c>
      <c r="AT431" s="38">
        <v>4</v>
      </c>
      <c r="AU431" s="38" t="s">
        <v>169</v>
      </c>
      <c r="AW431" s="38">
        <f>9.3/2*1000</f>
        <v>4650</v>
      </c>
      <c r="AX431" s="38">
        <f>AW431/173*2</f>
        <v>53.75722543352601</v>
      </c>
      <c r="AY431" s="64"/>
      <c r="BD431" s="38">
        <f t="shared" ref="BD431:BD432" si="60">3.9*1000</f>
        <v>3900</v>
      </c>
      <c r="BE431" s="38">
        <f>5.3*1000</f>
        <v>5300</v>
      </c>
      <c r="BJ431" s="38">
        <v>0.56000000000000005</v>
      </c>
      <c r="BK431" s="38">
        <v>0.73</v>
      </c>
      <c r="BL431" s="38" t="s">
        <v>709</v>
      </c>
      <c r="BM431" s="38">
        <v>0.3</v>
      </c>
      <c r="BN431" s="38">
        <v>0.5</v>
      </c>
      <c r="BO431" s="38" t="s">
        <v>272</v>
      </c>
      <c r="EJ431" s="12"/>
      <c r="EL431" s="15"/>
      <c r="FR431" s="38" t="s">
        <v>806</v>
      </c>
      <c r="FT431" s="38">
        <v>24</v>
      </c>
    </row>
    <row r="432" spans="1:176" s="38" customFormat="1" x14ac:dyDescent="0.25">
      <c r="A432" s="38">
        <v>24</v>
      </c>
      <c r="B432" s="38" t="s">
        <v>450</v>
      </c>
      <c r="C432" s="38" t="s">
        <v>451</v>
      </c>
      <c r="D432" s="38">
        <v>2013</v>
      </c>
      <c r="E432" s="38">
        <v>2003</v>
      </c>
      <c r="F432" s="38" t="s">
        <v>305</v>
      </c>
      <c r="G432" s="38" t="s">
        <v>452</v>
      </c>
      <c r="H432" s="38">
        <v>31.48</v>
      </c>
      <c r="I432" s="38">
        <v>-83.53</v>
      </c>
      <c r="J432" s="38">
        <v>108.4</v>
      </c>
      <c r="K432" s="38">
        <v>19.600000000000001</v>
      </c>
      <c r="L432" s="38">
        <v>18.600000000000001</v>
      </c>
      <c r="M432" s="38">
        <v>976</v>
      </c>
      <c r="N432" s="38">
        <v>1192</v>
      </c>
      <c r="P432" s="57">
        <v>2</v>
      </c>
      <c r="Q432" s="57"/>
      <c r="R432" s="57"/>
      <c r="S432" s="57" t="s">
        <v>1556</v>
      </c>
      <c r="T432" s="57" t="s">
        <v>1556</v>
      </c>
      <c r="U432" s="57" t="s">
        <v>1556</v>
      </c>
      <c r="V432" s="57" t="s">
        <v>1904</v>
      </c>
      <c r="W432" s="38">
        <f t="shared" si="56"/>
        <v>1.665</v>
      </c>
      <c r="Z432" s="38" t="s">
        <v>210</v>
      </c>
      <c r="AD432" s="38" t="s">
        <v>1485</v>
      </c>
      <c r="AE432" s="38" t="s">
        <v>1701</v>
      </c>
      <c r="AF432" s="152" t="s">
        <v>666</v>
      </c>
      <c r="AG432" s="38" t="s">
        <v>895</v>
      </c>
      <c r="AH432" s="155" t="s">
        <v>160</v>
      </c>
      <c r="AI432" s="38" t="s">
        <v>454</v>
      </c>
      <c r="AJ432" s="38" t="s">
        <v>454</v>
      </c>
      <c r="AK432" s="38" t="s">
        <v>212</v>
      </c>
      <c r="AL432" s="38" t="s">
        <v>269</v>
      </c>
      <c r="AM432" s="38" t="s">
        <v>453</v>
      </c>
      <c r="AN432" s="38" t="s">
        <v>587</v>
      </c>
      <c r="AO432" s="38" t="s">
        <v>455</v>
      </c>
      <c r="AP432" s="38" t="s">
        <v>455</v>
      </c>
      <c r="AQ432" s="38" t="s">
        <v>212</v>
      </c>
      <c r="AR432" s="38" t="s">
        <v>147</v>
      </c>
      <c r="AS432" s="38">
        <v>4</v>
      </c>
      <c r="AT432" s="38">
        <v>4</v>
      </c>
      <c r="AU432" s="38" t="s">
        <v>169</v>
      </c>
      <c r="AW432" s="38">
        <f>3.5/2*1000</f>
        <v>1750</v>
      </c>
      <c r="AX432" s="38">
        <f>AW432/90*2</f>
        <v>38.888888888888886</v>
      </c>
      <c r="AY432" s="64"/>
      <c r="BD432" s="38">
        <f t="shared" si="60"/>
        <v>3900</v>
      </c>
      <c r="BE432" s="38">
        <f>3.5*1000</f>
        <v>3500</v>
      </c>
      <c r="BJ432" s="38">
        <v>0.56000000000000005</v>
      </c>
      <c r="BK432" s="38">
        <v>0.52</v>
      </c>
      <c r="BL432" s="38" t="s">
        <v>709</v>
      </c>
      <c r="BM432" s="38">
        <v>0.3</v>
      </c>
      <c r="BN432" s="38">
        <v>0.3</v>
      </c>
      <c r="BO432" s="38" t="s">
        <v>272</v>
      </c>
      <c r="EJ432" s="12"/>
      <c r="EL432" s="15"/>
      <c r="FR432" s="38" t="s">
        <v>806</v>
      </c>
      <c r="FT432" s="38">
        <v>24</v>
      </c>
    </row>
    <row r="433" spans="1:176" s="42" customFormat="1" x14ac:dyDescent="0.25">
      <c r="A433" s="42">
        <v>25</v>
      </c>
      <c r="B433" s="42" t="s">
        <v>458</v>
      </c>
      <c r="C433" s="42" t="s">
        <v>459</v>
      </c>
      <c r="D433" s="42">
        <v>2009</v>
      </c>
      <c r="E433" s="42">
        <v>2004</v>
      </c>
      <c r="F433" s="42" t="s">
        <v>336</v>
      </c>
      <c r="G433" s="42" t="s">
        <v>462</v>
      </c>
      <c r="H433" s="42">
        <f>(44+53/60+44+22/60+42+44/60+42+52/60)/4</f>
        <v>43.712499999999999</v>
      </c>
      <c r="I433" s="42">
        <f>(-73-28/60-73-26/60-76-39/60-70-3/60)/4</f>
        <v>-73.400000000000006</v>
      </c>
      <c r="J433" s="42">
        <v>301</v>
      </c>
      <c r="P433" s="59">
        <v>2</v>
      </c>
      <c r="Q433" s="59"/>
      <c r="R433" s="59"/>
      <c r="S433" s="59" t="s">
        <v>1558</v>
      </c>
      <c r="T433" s="59" t="s">
        <v>1558</v>
      </c>
      <c r="U433" s="59" t="s">
        <v>1558</v>
      </c>
      <c r="V433" s="59" t="s">
        <v>1905</v>
      </c>
      <c r="X433" s="42">
        <f>(212+195+408+470)/(212+195+408+470+726+491+484+445+62+314+108+85)*100</f>
        <v>32.125</v>
      </c>
      <c r="Y433" s="42">
        <f>(726+491+484+445)/(212+195+408+470+726+491+484+445+62+314+108+85)*100</f>
        <v>53.65</v>
      </c>
      <c r="Z433" s="42" t="s">
        <v>531</v>
      </c>
      <c r="AD433" s="42" t="s">
        <v>1486</v>
      </c>
      <c r="AE433" s="42" t="s">
        <v>159</v>
      </c>
      <c r="AF433" s="152" t="s">
        <v>159</v>
      </c>
      <c r="AG433" s="42" t="s">
        <v>727</v>
      </c>
      <c r="AH433" s="154" t="s">
        <v>1793</v>
      </c>
      <c r="AI433" s="42" t="s">
        <v>460</v>
      </c>
      <c r="AJ433" s="42" t="s">
        <v>460</v>
      </c>
      <c r="AK433" s="42" t="s">
        <v>212</v>
      </c>
      <c r="AL433" s="42" t="s">
        <v>463</v>
      </c>
      <c r="AM433" s="42" t="s">
        <v>463</v>
      </c>
      <c r="AN433" s="42" t="s">
        <v>212</v>
      </c>
      <c r="AR433" s="42" t="s">
        <v>192</v>
      </c>
      <c r="AS433" s="42">
        <v>4</v>
      </c>
      <c r="AT433" s="42">
        <v>4</v>
      </c>
      <c r="AU433" s="42" t="s">
        <v>169</v>
      </c>
      <c r="AY433" s="63"/>
      <c r="BJ433" s="42">
        <f>21/1000*100</f>
        <v>2.1</v>
      </c>
      <c r="BK433" s="42">
        <v>2</v>
      </c>
      <c r="BL433" s="42" t="s">
        <v>1853</v>
      </c>
      <c r="BP433" s="42">
        <v>10.9</v>
      </c>
      <c r="BQ433" s="42">
        <v>11.5</v>
      </c>
      <c r="BS433" s="42">
        <v>58</v>
      </c>
      <c r="BT433" s="42">
        <v>57</v>
      </c>
      <c r="BV433" s="42">
        <v>7.24</v>
      </c>
      <c r="BW433" s="42">
        <v>7.22</v>
      </c>
      <c r="BY433" s="42">
        <v>99999</v>
      </c>
      <c r="BZ433" s="42">
        <v>99999</v>
      </c>
      <c r="CA433" s="42" t="s">
        <v>1320</v>
      </c>
      <c r="CH433" s="42">
        <f>16.5*10</f>
        <v>165</v>
      </c>
      <c r="CI433" s="42">
        <v>160</v>
      </c>
      <c r="DL433" s="42">
        <v>0.11700000000000001</v>
      </c>
      <c r="DM433" s="42">
        <v>0.11799999999999999</v>
      </c>
      <c r="DN433" s="42" t="s">
        <v>465</v>
      </c>
      <c r="DR433" s="12">
        <v>5</v>
      </c>
      <c r="DS433" s="42">
        <v>5</v>
      </c>
      <c r="DT433" s="42" t="s">
        <v>1895</v>
      </c>
      <c r="EM433" s="42">
        <v>501</v>
      </c>
      <c r="EN433" s="42">
        <v>510</v>
      </c>
      <c r="EO433" s="42" t="s">
        <v>467</v>
      </c>
      <c r="EP433" s="42">
        <v>3.41</v>
      </c>
      <c r="EQ433" s="42">
        <v>3.76</v>
      </c>
      <c r="ER433" s="42" t="s">
        <v>712</v>
      </c>
      <c r="FN433" s="42">
        <v>99999</v>
      </c>
      <c r="FR433" s="42" t="s">
        <v>468</v>
      </c>
      <c r="FS433" s="42" t="s">
        <v>817</v>
      </c>
      <c r="FT433" s="42">
        <v>25</v>
      </c>
    </row>
    <row r="434" spans="1:176" s="42" customFormat="1" x14ac:dyDescent="0.25">
      <c r="A434" s="42">
        <v>25</v>
      </c>
      <c r="B434" s="42" t="s">
        <v>458</v>
      </c>
      <c r="C434" s="42" t="s">
        <v>459</v>
      </c>
      <c r="D434" s="42">
        <v>2009</v>
      </c>
      <c r="E434" s="42">
        <v>2004</v>
      </c>
      <c r="F434" s="42" t="s">
        <v>336</v>
      </c>
      <c r="G434" s="42" t="s">
        <v>462</v>
      </c>
      <c r="H434" s="42">
        <f>(44+53/60+44+22/60+42+44/60+42+52/60)/4</f>
        <v>43.712499999999999</v>
      </c>
      <c r="I434" s="42">
        <f>(-73-28/60-73-26/60-76-39/60-70-3/60)/4</f>
        <v>-73.400000000000006</v>
      </c>
      <c r="J434" s="42">
        <v>301</v>
      </c>
      <c r="P434" s="59">
        <v>2</v>
      </c>
      <c r="Q434" s="59"/>
      <c r="R434" s="59"/>
      <c r="S434" s="59" t="s">
        <v>1558</v>
      </c>
      <c r="T434" s="59" t="s">
        <v>1558</v>
      </c>
      <c r="U434" s="59" t="s">
        <v>1558</v>
      </c>
      <c r="V434" s="59" t="s">
        <v>1905</v>
      </c>
      <c r="X434" s="42">
        <f>(212+195+408+470)/(212+195+408+470+726+491+484+445+62+314+108+85)*100</f>
        <v>32.125</v>
      </c>
      <c r="Y434" s="42">
        <f>(726+491+484+445)/(212+195+408+470+726+491+484+445+62+314+108+85)*100</f>
        <v>53.65</v>
      </c>
      <c r="Z434" s="42" t="s">
        <v>531</v>
      </c>
      <c r="AD434" s="42" t="s">
        <v>1486</v>
      </c>
      <c r="AE434" s="42" t="s">
        <v>159</v>
      </c>
      <c r="AF434" s="152" t="s">
        <v>159</v>
      </c>
      <c r="AG434" s="42" t="s">
        <v>727</v>
      </c>
      <c r="AH434" s="154" t="s">
        <v>1793</v>
      </c>
      <c r="AI434" s="42" t="s">
        <v>460</v>
      </c>
      <c r="AJ434" s="42" t="s">
        <v>460</v>
      </c>
      <c r="AK434" s="42" t="s">
        <v>212</v>
      </c>
      <c r="AL434" s="42" t="s">
        <v>463</v>
      </c>
      <c r="AM434" s="42" t="s">
        <v>463</v>
      </c>
      <c r="AN434" s="42" t="s">
        <v>212</v>
      </c>
      <c r="AR434" s="42" t="s">
        <v>192</v>
      </c>
      <c r="AS434" s="42">
        <v>4</v>
      </c>
      <c r="AT434" s="42">
        <v>4</v>
      </c>
      <c r="AU434" s="42" t="s">
        <v>169</v>
      </c>
      <c r="AY434" s="63"/>
      <c r="BJ434" s="42">
        <v>2.1</v>
      </c>
      <c r="BK434" s="42">
        <v>2</v>
      </c>
      <c r="BL434" s="42" t="s">
        <v>1853</v>
      </c>
      <c r="BP434" s="42">
        <v>10.9</v>
      </c>
      <c r="BQ434" s="42">
        <v>10.199999999999999</v>
      </c>
      <c r="BS434" s="42">
        <v>58</v>
      </c>
      <c r="BT434" s="42">
        <v>60</v>
      </c>
      <c r="BV434" s="42">
        <v>7.24</v>
      </c>
      <c r="BW434" s="42">
        <v>7.19</v>
      </c>
      <c r="BY434" s="42">
        <v>99999</v>
      </c>
      <c r="BZ434" s="42">
        <v>99999</v>
      </c>
      <c r="CA434" s="42" t="s">
        <v>1320</v>
      </c>
      <c r="CH434" s="42">
        <f>16.5*10</f>
        <v>165</v>
      </c>
      <c r="CI434" s="42">
        <v>177</v>
      </c>
      <c r="DL434" s="42">
        <v>0.11700000000000001</v>
      </c>
      <c r="DM434" s="42">
        <v>0.12</v>
      </c>
      <c r="DN434" s="42" t="s">
        <v>465</v>
      </c>
      <c r="DR434" s="12">
        <v>5</v>
      </c>
      <c r="DS434" s="42">
        <v>5.0999999999999996</v>
      </c>
      <c r="DT434" s="42" t="s">
        <v>1895</v>
      </c>
      <c r="EM434" s="42">
        <v>501</v>
      </c>
      <c r="EN434" s="42">
        <v>492</v>
      </c>
      <c r="EO434" s="42" t="s">
        <v>467</v>
      </c>
      <c r="EP434" s="42">
        <v>3.41</v>
      </c>
      <c r="EQ434" s="42">
        <v>6.27</v>
      </c>
      <c r="ER434" s="42" t="s">
        <v>712</v>
      </c>
      <c r="FN434" s="42">
        <v>99999</v>
      </c>
      <c r="FR434" s="42" t="s">
        <v>468</v>
      </c>
      <c r="FS434" s="42" t="s">
        <v>817</v>
      </c>
      <c r="FT434" s="42">
        <v>25</v>
      </c>
    </row>
    <row r="435" spans="1:176" s="42" customFormat="1" x14ac:dyDescent="0.25">
      <c r="A435" s="42">
        <v>25</v>
      </c>
      <c r="B435" s="42" t="s">
        <v>458</v>
      </c>
      <c r="C435" s="42" t="s">
        <v>459</v>
      </c>
      <c r="D435" s="42">
        <v>2009</v>
      </c>
      <c r="E435" s="42">
        <v>2004</v>
      </c>
      <c r="F435" s="42" t="s">
        <v>336</v>
      </c>
      <c r="G435" s="42" t="s">
        <v>462</v>
      </c>
      <c r="H435" s="42">
        <f>(44+53/60+44+22/60+42+44/60+42+52/60)/4</f>
        <v>43.712499999999999</v>
      </c>
      <c r="I435" s="42">
        <f>(-73-28/60-73-26/60-76-39/60-70-3/60)/4</f>
        <v>-73.400000000000006</v>
      </c>
      <c r="J435" s="42">
        <v>301</v>
      </c>
      <c r="P435" s="59">
        <v>2</v>
      </c>
      <c r="Q435" s="59"/>
      <c r="R435" s="59"/>
      <c r="S435" s="59" t="s">
        <v>1558</v>
      </c>
      <c r="T435" s="59" t="s">
        <v>1558</v>
      </c>
      <c r="U435" s="59" t="s">
        <v>1558</v>
      </c>
      <c r="V435" s="59" t="s">
        <v>1905</v>
      </c>
      <c r="X435" s="42">
        <f>(212+195+408+470)/(212+195+408+470+726+491+484+445+62+314+108+85)*100</f>
        <v>32.125</v>
      </c>
      <c r="Y435" s="42">
        <f>(726+491+484+445)/(212+195+408+470+726+491+484+445+62+314+108+85)*100</f>
        <v>53.65</v>
      </c>
      <c r="Z435" s="42" t="s">
        <v>531</v>
      </c>
      <c r="AD435" s="42" t="s">
        <v>1486</v>
      </c>
      <c r="AE435" s="42" t="s">
        <v>159</v>
      </c>
      <c r="AF435" s="152" t="s">
        <v>159</v>
      </c>
      <c r="AG435" s="42" t="s">
        <v>727</v>
      </c>
      <c r="AH435" s="154" t="s">
        <v>1793</v>
      </c>
      <c r="AI435" s="42" t="s">
        <v>461</v>
      </c>
      <c r="AJ435" s="42" t="s">
        <v>461</v>
      </c>
      <c r="AK435" s="42" t="s">
        <v>212</v>
      </c>
      <c r="AL435" s="42" t="s">
        <v>463</v>
      </c>
      <c r="AM435" s="42" t="s">
        <v>463</v>
      </c>
      <c r="AN435" s="42" t="s">
        <v>212</v>
      </c>
      <c r="AR435" s="42" t="s">
        <v>192</v>
      </c>
      <c r="AS435" s="42">
        <v>4</v>
      </c>
      <c r="AT435" s="42">
        <v>4</v>
      </c>
      <c r="AU435" s="42" t="s">
        <v>169</v>
      </c>
      <c r="AY435" s="63"/>
      <c r="BJ435" s="42">
        <v>2.2999999999999998</v>
      </c>
      <c r="BK435" s="42">
        <v>2.1</v>
      </c>
      <c r="BL435" s="42" t="s">
        <v>1853</v>
      </c>
      <c r="BP435" s="42">
        <v>11</v>
      </c>
      <c r="BQ435" s="42">
        <v>10.9</v>
      </c>
      <c r="BS435" s="42">
        <v>62</v>
      </c>
      <c r="BT435" s="42">
        <v>65</v>
      </c>
      <c r="BV435" s="42">
        <v>7.19</v>
      </c>
      <c r="BW435" s="42">
        <v>7.24</v>
      </c>
      <c r="BY435" s="42">
        <v>99999</v>
      </c>
      <c r="BZ435" s="42">
        <v>99999</v>
      </c>
      <c r="CA435" s="42" t="s">
        <v>1320</v>
      </c>
      <c r="CH435" s="42">
        <f>21.8*10</f>
        <v>218</v>
      </c>
      <c r="CI435" s="42">
        <v>224</v>
      </c>
      <c r="DL435" s="42">
        <v>0.121</v>
      </c>
      <c r="DM435" s="42">
        <v>0.124</v>
      </c>
      <c r="DN435" s="42" t="s">
        <v>465</v>
      </c>
      <c r="DR435" s="12">
        <v>5</v>
      </c>
      <c r="DS435" s="42">
        <v>4.7</v>
      </c>
      <c r="DT435" s="42" t="s">
        <v>1895</v>
      </c>
      <c r="EM435" s="42">
        <v>549</v>
      </c>
      <c r="EN435" s="42">
        <v>525</v>
      </c>
      <c r="EO435" s="42" t="s">
        <v>467</v>
      </c>
      <c r="EP435" s="42">
        <v>6.94</v>
      </c>
      <c r="EQ435" s="42">
        <v>5.91</v>
      </c>
      <c r="ER435" s="42" t="s">
        <v>712</v>
      </c>
      <c r="FN435" s="42">
        <v>99999</v>
      </c>
      <c r="FR435" s="42" t="s">
        <v>468</v>
      </c>
      <c r="FS435" s="42" t="s">
        <v>817</v>
      </c>
      <c r="FT435" s="42">
        <v>25</v>
      </c>
    </row>
    <row r="436" spans="1:176" s="42" customFormat="1" x14ac:dyDescent="0.25">
      <c r="A436" s="42">
        <v>25</v>
      </c>
      <c r="B436" s="42" t="s">
        <v>458</v>
      </c>
      <c r="C436" s="42" t="s">
        <v>459</v>
      </c>
      <c r="D436" s="42">
        <v>2009</v>
      </c>
      <c r="E436" s="42">
        <v>2004</v>
      </c>
      <c r="F436" s="42" t="s">
        <v>336</v>
      </c>
      <c r="G436" s="42" t="s">
        <v>462</v>
      </c>
      <c r="H436" s="42">
        <f>(44+53/60+44+22/60+42+44/60+42+52/60)/4</f>
        <v>43.712499999999999</v>
      </c>
      <c r="I436" s="42">
        <f>(-73-28/60-73-26/60-76-39/60-70-3/60)/4</f>
        <v>-73.400000000000006</v>
      </c>
      <c r="J436" s="42">
        <v>301</v>
      </c>
      <c r="P436" s="59">
        <v>2</v>
      </c>
      <c r="Q436" s="59"/>
      <c r="R436" s="59"/>
      <c r="S436" s="59" t="s">
        <v>1558</v>
      </c>
      <c r="T436" s="59" t="s">
        <v>1558</v>
      </c>
      <c r="U436" s="59" t="s">
        <v>1558</v>
      </c>
      <c r="V436" s="59" t="s">
        <v>1905</v>
      </c>
      <c r="X436" s="42">
        <f>(212+195+408+470)/(212+195+408+470+726+491+484+445+62+314+108+85)*100</f>
        <v>32.125</v>
      </c>
      <c r="Y436" s="42">
        <f>(726+491+484+445)/(212+195+408+470+726+491+484+445+62+314+108+85)*100</f>
        <v>53.65</v>
      </c>
      <c r="Z436" s="42" t="s">
        <v>531</v>
      </c>
      <c r="AD436" s="42" t="s">
        <v>1486</v>
      </c>
      <c r="AE436" s="42" t="s">
        <v>159</v>
      </c>
      <c r="AF436" s="152" t="s">
        <v>159</v>
      </c>
      <c r="AG436" s="42" t="s">
        <v>727</v>
      </c>
      <c r="AH436" s="154" t="s">
        <v>1793</v>
      </c>
      <c r="AI436" s="42" t="s">
        <v>461</v>
      </c>
      <c r="AJ436" s="42" t="s">
        <v>461</v>
      </c>
      <c r="AK436" s="42" t="s">
        <v>212</v>
      </c>
      <c r="AL436" s="42" t="s">
        <v>463</v>
      </c>
      <c r="AM436" s="42" t="s">
        <v>463</v>
      </c>
      <c r="AN436" s="42" t="s">
        <v>212</v>
      </c>
      <c r="AR436" s="42" t="s">
        <v>192</v>
      </c>
      <c r="AS436" s="42">
        <v>4</v>
      </c>
      <c r="AT436" s="42">
        <v>4</v>
      </c>
      <c r="AU436" s="42" t="s">
        <v>169</v>
      </c>
      <c r="AY436" s="63"/>
      <c r="BJ436" s="42">
        <v>2.2999999999999998</v>
      </c>
      <c r="BK436" s="42">
        <v>2.1</v>
      </c>
      <c r="BL436" s="42" t="s">
        <v>1853</v>
      </c>
      <c r="BP436" s="42">
        <v>11</v>
      </c>
      <c r="BQ436" s="42">
        <v>11.6</v>
      </c>
      <c r="BS436" s="42">
        <v>62</v>
      </c>
      <c r="BT436" s="42">
        <v>63</v>
      </c>
      <c r="BV436" s="42">
        <v>7.19</v>
      </c>
      <c r="BW436" s="42">
        <v>7.29</v>
      </c>
      <c r="BY436" s="42">
        <v>99999</v>
      </c>
      <c r="BZ436" s="42">
        <v>99999</v>
      </c>
      <c r="CA436" s="42" t="s">
        <v>1320</v>
      </c>
      <c r="CH436" s="42">
        <f>21.8*10</f>
        <v>218</v>
      </c>
      <c r="CI436" s="42">
        <v>214</v>
      </c>
      <c r="DL436" s="42">
        <v>0.121</v>
      </c>
      <c r="DM436" s="42">
        <v>0.12</v>
      </c>
      <c r="DN436" s="42" t="s">
        <v>465</v>
      </c>
      <c r="DR436" s="12">
        <v>5</v>
      </c>
      <c r="DS436" s="42">
        <v>5</v>
      </c>
      <c r="DT436" s="42" t="s">
        <v>1895</v>
      </c>
      <c r="EM436" s="42">
        <v>549</v>
      </c>
      <c r="EN436" s="42">
        <v>527</v>
      </c>
      <c r="EO436" s="42" t="s">
        <v>467</v>
      </c>
      <c r="EP436" s="42">
        <v>6.94</v>
      </c>
      <c r="EQ436" s="42">
        <v>6.42</v>
      </c>
      <c r="ER436" s="42" t="s">
        <v>712</v>
      </c>
      <c r="FN436" s="42">
        <v>99999</v>
      </c>
      <c r="FR436" s="42" t="s">
        <v>468</v>
      </c>
      <c r="FS436" s="42" t="s">
        <v>817</v>
      </c>
      <c r="FT436" s="42">
        <v>25</v>
      </c>
    </row>
    <row r="437" spans="1:176" s="38" customFormat="1" x14ac:dyDescent="0.25">
      <c r="A437" s="38">
        <v>26</v>
      </c>
      <c r="B437" s="38" t="s">
        <v>469</v>
      </c>
      <c r="C437" s="38" t="s">
        <v>470</v>
      </c>
      <c r="D437" s="38">
        <v>2015</v>
      </c>
      <c r="E437" s="38">
        <v>2012</v>
      </c>
      <c r="F437" s="38" t="s">
        <v>336</v>
      </c>
      <c r="G437" s="38" t="s">
        <v>471</v>
      </c>
      <c r="H437" s="38">
        <f>35.39</f>
        <v>35.39</v>
      </c>
      <c r="I437" s="38">
        <f>-78.03</f>
        <v>-78.03</v>
      </c>
      <c r="J437" s="38">
        <v>24.3</v>
      </c>
      <c r="P437" s="57">
        <v>1</v>
      </c>
      <c r="Q437" s="57"/>
      <c r="R437" s="57" t="s">
        <v>476</v>
      </c>
      <c r="S437" s="57" t="s">
        <v>1558</v>
      </c>
      <c r="T437" s="57" t="s">
        <v>1558</v>
      </c>
      <c r="U437" s="57" t="s">
        <v>1558</v>
      </c>
      <c r="V437" s="57" t="s">
        <v>1905</v>
      </c>
      <c r="Z437" s="38" t="s">
        <v>210</v>
      </c>
      <c r="AD437" s="38" t="s">
        <v>1487</v>
      </c>
      <c r="AE437" s="38" t="s">
        <v>474</v>
      </c>
      <c r="AF437" s="152" t="s">
        <v>666</v>
      </c>
      <c r="AG437" s="38" t="s">
        <v>160</v>
      </c>
      <c r="AH437" s="155" t="s">
        <v>160</v>
      </c>
      <c r="AL437" s="38" t="s">
        <v>473</v>
      </c>
      <c r="AM437" s="38" t="s">
        <v>473</v>
      </c>
      <c r="AN437" s="38" t="s">
        <v>212</v>
      </c>
      <c r="AO437" s="38">
        <v>0</v>
      </c>
      <c r="AP437" s="38">
        <v>0</v>
      </c>
      <c r="AQ437" s="38" t="s">
        <v>212</v>
      </c>
      <c r="AR437" s="38" t="s">
        <v>192</v>
      </c>
      <c r="AS437" s="38">
        <v>4</v>
      </c>
      <c r="AT437" s="38">
        <v>4</v>
      </c>
      <c r="AU437" s="38" t="s">
        <v>379</v>
      </c>
      <c r="AW437" s="38">
        <f>(6.5+1.7)*1000</f>
        <v>8200</v>
      </c>
      <c r="AX437" s="38">
        <f>AW437/(205+53)</f>
        <v>31.782945736434108</v>
      </c>
      <c r="AY437" s="64" t="s">
        <v>485</v>
      </c>
      <c r="BM437" s="38">
        <v>10.685</v>
      </c>
      <c r="BN437" s="38">
        <v>29.363800000000001</v>
      </c>
      <c r="BO437" s="38" t="s">
        <v>484</v>
      </c>
      <c r="EJ437" s="12"/>
      <c r="EL437" s="15"/>
      <c r="FR437" s="38" t="s">
        <v>487</v>
      </c>
      <c r="FS437" s="38" t="s">
        <v>808</v>
      </c>
      <c r="FT437" s="38">
        <v>26</v>
      </c>
    </row>
    <row r="438" spans="1:176" s="38" customFormat="1" x14ac:dyDescent="0.25">
      <c r="A438" s="38">
        <v>26</v>
      </c>
      <c r="B438" s="38" t="s">
        <v>469</v>
      </c>
      <c r="C438" s="38" t="s">
        <v>470</v>
      </c>
      <c r="D438" s="38">
        <v>2015</v>
      </c>
      <c r="E438" s="38">
        <v>2012</v>
      </c>
      <c r="F438" s="38" t="s">
        <v>336</v>
      </c>
      <c r="G438" s="38" t="s">
        <v>471</v>
      </c>
      <c r="H438" s="38">
        <f>35.39</f>
        <v>35.39</v>
      </c>
      <c r="I438" s="38">
        <f>-78.03</f>
        <v>-78.03</v>
      </c>
      <c r="J438" s="38">
        <v>24.3</v>
      </c>
      <c r="P438" s="57">
        <v>1</v>
      </c>
      <c r="Q438" s="57"/>
      <c r="R438" s="57" t="s">
        <v>476</v>
      </c>
      <c r="S438" s="57" t="s">
        <v>1558</v>
      </c>
      <c r="T438" s="57" t="s">
        <v>1558</v>
      </c>
      <c r="U438" s="57" t="s">
        <v>1558</v>
      </c>
      <c r="V438" s="57" t="s">
        <v>1905</v>
      </c>
      <c r="Z438" s="38" t="s">
        <v>210</v>
      </c>
      <c r="AD438" s="38" t="s">
        <v>1487</v>
      </c>
      <c r="AE438" s="38" t="s">
        <v>475</v>
      </c>
      <c r="AF438" s="152" t="s">
        <v>666</v>
      </c>
      <c r="AG438" s="38" t="s">
        <v>160</v>
      </c>
      <c r="AH438" s="155" t="s">
        <v>160</v>
      </c>
      <c r="AL438" s="38" t="s">
        <v>473</v>
      </c>
      <c r="AM438" s="38" t="s">
        <v>473</v>
      </c>
      <c r="AN438" s="38" t="s">
        <v>212</v>
      </c>
      <c r="AO438" s="38">
        <v>0</v>
      </c>
      <c r="AP438" s="38">
        <v>0</v>
      </c>
      <c r="AQ438" s="38" t="s">
        <v>212</v>
      </c>
      <c r="AR438" s="38" t="s">
        <v>192</v>
      </c>
      <c r="AS438" s="38">
        <v>4</v>
      </c>
      <c r="AT438" s="38">
        <v>4</v>
      </c>
      <c r="AU438" s="38" t="s">
        <v>379</v>
      </c>
      <c r="AW438" s="38">
        <f>(9.6+2.8)*1000</f>
        <v>12399.999999999998</v>
      </c>
      <c r="AX438" s="38">
        <f>AW438/(256+66)</f>
        <v>38.509316770186331</v>
      </c>
      <c r="AY438" s="64" t="s">
        <v>485</v>
      </c>
      <c r="BM438" s="38">
        <v>10.685</v>
      </c>
      <c r="BN438" s="38">
        <v>14.356</v>
      </c>
      <c r="BO438" s="38" t="s">
        <v>484</v>
      </c>
      <c r="EJ438" s="12"/>
      <c r="EL438" s="15"/>
      <c r="FR438" s="38" t="s">
        <v>487</v>
      </c>
      <c r="FS438" s="38" t="s">
        <v>808</v>
      </c>
      <c r="FT438" s="38">
        <v>26</v>
      </c>
    </row>
    <row r="439" spans="1:176" s="38" customFormat="1" x14ac:dyDescent="0.25">
      <c r="A439" s="38">
        <v>26</v>
      </c>
      <c r="B439" s="38" t="s">
        <v>469</v>
      </c>
      <c r="C439" s="38" t="s">
        <v>470</v>
      </c>
      <c r="D439" s="38">
        <v>2015</v>
      </c>
      <c r="E439" s="38">
        <v>2012</v>
      </c>
      <c r="F439" s="38" t="s">
        <v>336</v>
      </c>
      <c r="G439" s="38" t="s">
        <v>471</v>
      </c>
      <c r="H439" s="38">
        <f t="shared" ref="H439:H478" si="61">35.39</f>
        <v>35.39</v>
      </c>
      <c r="I439" s="38">
        <f t="shared" ref="I439:I478" si="62">-78.03</f>
        <v>-78.03</v>
      </c>
      <c r="J439" s="38">
        <v>24.3</v>
      </c>
      <c r="P439" s="57">
        <v>1</v>
      </c>
      <c r="Q439" s="57"/>
      <c r="R439" s="57" t="s">
        <v>476</v>
      </c>
      <c r="S439" s="57" t="s">
        <v>1558</v>
      </c>
      <c r="T439" s="57" t="s">
        <v>1558</v>
      </c>
      <c r="U439" s="57" t="s">
        <v>1558</v>
      </c>
      <c r="V439" s="57" t="s">
        <v>1905</v>
      </c>
      <c r="Z439" s="38" t="s">
        <v>210</v>
      </c>
      <c r="AD439" s="38" t="s">
        <v>1487</v>
      </c>
      <c r="AE439" s="38" t="s">
        <v>281</v>
      </c>
      <c r="AF439" s="152" t="s">
        <v>666</v>
      </c>
      <c r="AG439" s="38" t="s">
        <v>160</v>
      </c>
      <c r="AH439" s="155" t="s">
        <v>160</v>
      </c>
      <c r="AL439" s="38" t="s">
        <v>473</v>
      </c>
      <c r="AM439" s="38" t="s">
        <v>473</v>
      </c>
      <c r="AN439" s="38" t="s">
        <v>212</v>
      </c>
      <c r="AO439" s="38">
        <v>0</v>
      </c>
      <c r="AP439" s="38">
        <v>0</v>
      </c>
      <c r="AQ439" s="38" t="s">
        <v>212</v>
      </c>
      <c r="AR439" s="38" t="s">
        <v>192</v>
      </c>
      <c r="AS439" s="38">
        <v>4</v>
      </c>
      <c r="AT439" s="38">
        <v>4</v>
      </c>
      <c r="AU439" s="38" t="s">
        <v>379</v>
      </c>
      <c r="AW439" s="38">
        <f>(8.7+2.5)*1000</f>
        <v>11200</v>
      </c>
      <c r="AX439" s="38">
        <f>AW439/(288+71)</f>
        <v>31.197771587743734</v>
      </c>
      <c r="AY439" s="64" t="s">
        <v>485</v>
      </c>
      <c r="BM439" s="38">
        <v>10.685</v>
      </c>
      <c r="BN439" s="38">
        <v>29.85</v>
      </c>
      <c r="BO439" s="38" t="s">
        <v>484</v>
      </c>
      <c r="EJ439" s="12"/>
      <c r="EL439" s="15"/>
      <c r="FR439" s="38" t="s">
        <v>487</v>
      </c>
      <c r="FS439" s="38" t="s">
        <v>808</v>
      </c>
      <c r="FT439" s="38">
        <v>26</v>
      </c>
    </row>
    <row r="440" spans="1:176" s="38" customFormat="1" x14ac:dyDescent="0.25">
      <c r="A440" s="38">
        <v>26</v>
      </c>
      <c r="B440" s="38" t="s">
        <v>469</v>
      </c>
      <c r="C440" s="38" t="s">
        <v>470</v>
      </c>
      <c r="D440" s="38">
        <v>2015</v>
      </c>
      <c r="E440" s="38">
        <v>2012</v>
      </c>
      <c r="F440" s="38" t="s">
        <v>336</v>
      </c>
      <c r="G440" s="38" t="s">
        <v>471</v>
      </c>
      <c r="H440" s="38">
        <f t="shared" si="61"/>
        <v>35.39</v>
      </c>
      <c r="I440" s="38">
        <f t="shared" si="62"/>
        <v>-78.03</v>
      </c>
      <c r="J440" s="38">
        <v>24.3</v>
      </c>
      <c r="P440" s="57">
        <v>1</v>
      </c>
      <c r="Q440" s="57"/>
      <c r="R440" s="57" t="s">
        <v>477</v>
      </c>
      <c r="S440" s="57" t="s">
        <v>1558</v>
      </c>
      <c r="T440" s="57" t="s">
        <v>1558</v>
      </c>
      <c r="U440" s="57" t="s">
        <v>1558</v>
      </c>
      <c r="V440" s="57" t="s">
        <v>1905</v>
      </c>
      <c r="Z440" s="38" t="s">
        <v>210</v>
      </c>
      <c r="AD440" s="38" t="s">
        <v>1487</v>
      </c>
      <c r="AE440" s="38" t="s">
        <v>474</v>
      </c>
      <c r="AF440" s="152" t="s">
        <v>666</v>
      </c>
      <c r="AG440" s="38" t="s">
        <v>160</v>
      </c>
      <c r="AH440" s="155" t="s">
        <v>160</v>
      </c>
      <c r="AL440" s="38" t="s">
        <v>473</v>
      </c>
      <c r="AM440" s="38" t="s">
        <v>473</v>
      </c>
      <c r="AN440" s="38" t="s">
        <v>212</v>
      </c>
      <c r="AO440" s="38">
        <v>0</v>
      </c>
      <c r="AP440" s="38">
        <v>0</v>
      </c>
      <c r="AQ440" s="38" t="s">
        <v>212</v>
      </c>
      <c r="AR440" s="38" t="s">
        <v>192</v>
      </c>
      <c r="AS440" s="38">
        <v>4</v>
      </c>
      <c r="AT440" s="38">
        <v>4</v>
      </c>
      <c r="AU440" s="38" t="s">
        <v>379</v>
      </c>
      <c r="AW440" s="38">
        <f>(6.5+1.7)*1000</f>
        <v>8200</v>
      </c>
      <c r="AX440" s="38">
        <f>AW440/(205+53)</f>
        <v>31.782945736434108</v>
      </c>
      <c r="AY440" s="64" t="s">
        <v>485</v>
      </c>
      <c r="BM440" s="38">
        <v>14.273999999999999</v>
      </c>
      <c r="BN440" s="38">
        <v>27</v>
      </c>
      <c r="BO440" s="38" t="s">
        <v>484</v>
      </c>
      <c r="EJ440" s="12"/>
      <c r="EL440" s="15"/>
      <c r="FR440" s="38" t="s">
        <v>487</v>
      </c>
      <c r="FS440" s="38" t="s">
        <v>808</v>
      </c>
      <c r="FT440" s="38">
        <v>26</v>
      </c>
    </row>
    <row r="441" spans="1:176" s="38" customFormat="1" x14ac:dyDescent="0.25">
      <c r="A441" s="38">
        <v>26</v>
      </c>
      <c r="B441" s="38" t="s">
        <v>469</v>
      </c>
      <c r="C441" s="38" t="s">
        <v>470</v>
      </c>
      <c r="D441" s="38">
        <v>2015</v>
      </c>
      <c r="E441" s="38">
        <v>2012</v>
      </c>
      <c r="F441" s="38" t="s">
        <v>336</v>
      </c>
      <c r="G441" s="38" t="s">
        <v>471</v>
      </c>
      <c r="H441" s="38">
        <f t="shared" si="61"/>
        <v>35.39</v>
      </c>
      <c r="I441" s="38">
        <f t="shared" si="62"/>
        <v>-78.03</v>
      </c>
      <c r="J441" s="38">
        <v>24.3</v>
      </c>
      <c r="P441" s="57">
        <v>1</v>
      </c>
      <c r="Q441" s="57"/>
      <c r="R441" s="57" t="s">
        <v>477</v>
      </c>
      <c r="S441" s="57" t="s">
        <v>1558</v>
      </c>
      <c r="T441" s="57" t="s">
        <v>1558</v>
      </c>
      <c r="U441" s="57" t="s">
        <v>1558</v>
      </c>
      <c r="V441" s="57" t="s">
        <v>1905</v>
      </c>
      <c r="Z441" s="38" t="s">
        <v>210</v>
      </c>
      <c r="AD441" s="38" t="s">
        <v>1487</v>
      </c>
      <c r="AE441" s="38" t="s">
        <v>475</v>
      </c>
      <c r="AF441" s="152" t="s">
        <v>666</v>
      </c>
      <c r="AG441" s="38" t="s">
        <v>160</v>
      </c>
      <c r="AH441" s="155" t="s">
        <v>160</v>
      </c>
      <c r="AL441" s="38" t="s">
        <v>473</v>
      </c>
      <c r="AM441" s="38" t="s">
        <v>473</v>
      </c>
      <c r="AN441" s="38" t="s">
        <v>212</v>
      </c>
      <c r="AO441" s="38">
        <v>0</v>
      </c>
      <c r="AP441" s="38">
        <v>0</v>
      </c>
      <c r="AQ441" s="38" t="s">
        <v>212</v>
      </c>
      <c r="AR441" s="38" t="s">
        <v>192</v>
      </c>
      <c r="AS441" s="38">
        <v>4</v>
      </c>
      <c r="AT441" s="38">
        <v>4</v>
      </c>
      <c r="AU441" s="38" t="s">
        <v>379</v>
      </c>
      <c r="AW441" s="38">
        <f>(9.6+2.8)*1000</f>
        <v>12399.999999999998</v>
      </c>
      <c r="AX441" s="38">
        <f>AW441/(256+66)</f>
        <v>38.509316770186331</v>
      </c>
      <c r="AY441" s="64" t="s">
        <v>485</v>
      </c>
      <c r="BM441" s="38">
        <v>14.273999999999999</v>
      </c>
      <c r="BN441" s="38">
        <v>25.285</v>
      </c>
      <c r="BO441" s="38" t="s">
        <v>484</v>
      </c>
      <c r="EJ441" s="12"/>
      <c r="EL441" s="15"/>
      <c r="FR441" s="38" t="s">
        <v>487</v>
      </c>
      <c r="FS441" s="38" t="s">
        <v>808</v>
      </c>
      <c r="FT441" s="38">
        <v>26</v>
      </c>
    </row>
    <row r="442" spans="1:176" s="38" customFormat="1" x14ac:dyDescent="0.25">
      <c r="A442" s="38">
        <v>26</v>
      </c>
      <c r="B442" s="38" t="s">
        <v>469</v>
      </c>
      <c r="C442" s="38" t="s">
        <v>470</v>
      </c>
      <c r="D442" s="38">
        <v>2015</v>
      </c>
      <c r="E442" s="38">
        <v>2012</v>
      </c>
      <c r="F442" s="38" t="s">
        <v>336</v>
      </c>
      <c r="G442" s="38" t="s">
        <v>471</v>
      </c>
      <c r="H442" s="38">
        <f t="shared" si="61"/>
        <v>35.39</v>
      </c>
      <c r="I442" s="38">
        <f t="shared" si="62"/>
        <v>-78.03</v>
      </c>
      <c r="J442" s="38">
        <v>24.3</v>
      </c>
      <c r="P442" s="57">
        <v>1</v>
      </c>
      <c r="Q442" s="57"/>
      <c r="R442" s="57" t="s">
        <v>477</v>
      </c>
      <c r="S442" s="57" t="s">
        <v>1558</v>
      </c>
      <c r="T442" s="57" t="s">
        <v>1558</v>
      </c>
      <c r="U442" s="57" t="s">
        <v>1558</v>
      </c>
      <c r="V442" s="57" t="s">
        <v>1905</v>
      </c>
      <c r="Z442" s="38" t="s">
        <v>210</v>
      </c>
      <c r="AD442" s="38" t="s">
        <v>1487</v>
      </c>
      <c r="AE442" s="38" t="s">
        <v>281</v>
      </c>
      <c r="AF442" s="152" t="s">
        <v>666</v>
      </c>
      <c r="AG442" s="38" t="s">
        <v>160</v>
      </c>
      <c r="AH442" s="155" t="s">
        <v>160</v>
      </c>
      <c r="AL442" s="38" t="s">
        <v>473</v>
      </c>
      <c r="AM442" s="38" t="s">
        <v>473</v>
      </c>
      <c r="AN442" s="38" t="s">
        <v>212</v>
      </c>
      <c r="AO442" s="38">
        <v>0</v>
      </c>
      <c r="AP442" s="38">
        <v>0</v>
      </c>
      <c r="AQ442" s="38" t="s">
        <v>212</v>
      </c>
      <c r="AR442" s="38" t="s">
        <v>192</v>
      </c>
      <c r="AS442" s="38">
        <v>4</v>
      </c>
      <c r="AT442" s="38">
        <v>4</v>
      </c>
      <c r="AU442" s="38" t="s">
        <v>379</v>
      </c>
      <c r="AW442" s="38">
        <f>(8.7+2.5)*1000</f>
        <v>11200</v>
      </c>
      <c r="AX442" s="38">
        <f>AW442/(288+71)</f>
        <v>31.197771587743734</v>
      </c>
      <c r="AY442" s="64" t="s">
        <v>485</v>
      </c>
      <c r="BM442" s="38">
        <v>14.273999999999999</v>
      </c>
      <c r="BN442" s="38">
        <v>41.191000000000003</v>
      </c>
      <c r="BO442" s="38" t="s">
        <v>484</v>
      </c>
      <c r="EJ442" s="12"/>
      <c r="EL442" s="15"/>
      <c r="FR442" s="38" t="s">
        <v>487</v>
      </c>
      <c r="FS442" s="38" t="s">
        <v>808</v>
      </c>
      <c r="FT442" s="38">
        <v>26</v>
      </c>
    </row>
    <row r="443" spans="1:176" s="38" customFormat="1" x14ac:dyDescent="0.25">
      <c r="A443" s="38">
        <v>26</v>
      </c>
      <c r="B443" s="38" t="s">
        <v>469</v>
      </c>
      <c r="C443" s="38" t="s">
        <v>470</v>
      </c>
      <c r="D443" s="38">
        <v>2015</v>
      </c>
      <c r="E443" s="38">
        <v>2012</v>
      </c>
      <c r="F443" s="38" t="s">
        <v>336</v>
      </c>
      <c r="G443" s="38" t="s">
        <v>471</v>
      </c>
      <c r="H443" s="38">
        <f t="shared" si="61"/>
        <v>35.39</v>
      </c>
      <c r="I443" s="38">
        <f t="shared" si="62"/>
        <v>-78.03</v>
      </c>
      <c r="J443" s="38">
        <v>24.3</v>
      </c>
      <c r="P443" s="57">
        <v>1</v>
      </c>
      <c r="Q443" s="57"/>
      <c r="R443" s="57" t="s">
        <v>478</v>
      </c>
      <c r="S443" s="57" t="s">
        <v>1558</v>
      </c>
      <c r="T443" s="57" t="s">
        <v>1558</v>
      </c>
      <c r="U443" s="57" t="s">
        <v>1558</v>
      </c>
      <c r="V443" s="57" t="s">
        <v>1905</v>
      </c>
      <c r="Z443" s="38" t="s">
        <v>210</v>
      </c>
      <c r="AD443" s="38" t="s">
        <v>1487</v>
      </c>
      <c r="AE443" s="38" t="s">
        <v>474</v>
      </c>
      <c r="AF443" s="152" t="s">
        <v>666</v>
      </c>
      <c r="AG443" s="38" t="s">
        <v>160</v>
      </c>
      <c r="AH443" s="155" t="s">
        <v>160</v>
      </c>
      <c r="AL443" s="38" t="s">
        <v>473</v>
      </c>
      <c r="AM443" s="38" t="s">
        <v>473</v>
      </c>
      <c r="AN443" s="38" t="s">
        <v>212</v>
      </c>
      <c r="AO443" s="38">
        <v>0</v>
      </c>
      <c r="AP443" s="38">
        <v>0</v>
      </c>
      <c r="AQ443" s="38" t="s">
        <v>212</v>
      </c>
      <c r="AR443" s="38" t="s">
        <v>192</v>
      </c>
      <c r="AS443" s="38">
        <v>4</v>
      </c>
      <c r="AT443" s="38">
        <v>4</v>
      </c>
      <c r="AU443" s="38" t="s">
        <v>379</v>
      </c>
      <c r="AW443" s="38">
        <f>(6.5+1.7)*1000</f>
        <v>8200</v>
      </c>
      <c r="AX443" s="38">
        <f t="shared" ref="AX443" si="63">AW443/(205+53)</f>
        <v>31.782945736434108</v>
      </c>
      <c r="AY443" s="64" t="s">
        <v>485</v>
      </c>
      <c r="BM443" s="38">
        <v>11.582000000000001</v>
      </c>
      <c r="BN443" s="38">
        <v>36.215000000000003</v>
      </c>
      <c r="BO443" s="38" t="s">
        <v>484</v>
      </c>
      <c r="EJ443" s="12"/>
      <c r="EL443" s="15"/>
      <c r="FR443" s="38" t="s">
        <v>487</v>
      </c>
      <c r="FS443" s="38" t="s">
        <v>808</v>
      </c>
      <c r="FT443" s="38">
        <v>26</v>
      </c>
    </row>
    <row r="444" spans="1:176" s="38" customFormat="1" x14ac:dyDescent="0.25">
      <c r="A444" s="38">
        <v>26</v>
      </c>
      <c r="B444" s="38" t="s">
        <v>469</v>
      </c>
      <c r="C444" s="38" t="s">
        <v>470</v>
      </c>
      <c r="D444" s="38">
        <v>2015</v>
      </c>
      <c r="E444" s="38">
        <v>2012</v>
      </c>
      <c r="F444" s="38" t="s">
        <v>336</v>
      </c>
      <c r="G444" s="38" t="s">
        <v>471</v>
      </c>
      <c r="H444" s="38">
        <f t="shared" si="61"/>
        <v>35.39</v>
      </c>
      <c r="I444" s="38">
        <f t="shared" si="62"/>
        <v>-78.03</v>
      </c>
      <c r="J444" s="38">
        <v>24.3</v>
      </c>
      <c r="P444" s="57">
        <v>1</v>
      </c>
      <c r="Q444" s="57"/>
      <c r="R444" s="57" t="s">
        <v>478</v>
      </c>
      <c r="S444" s="57" t="s">
        <v>1558</v>
      </c>
      <c r="T444" s="57" t="s">
        <v>1558</v>
      </c>
      <c r="U444" s="57" t="s">
        <v>1558</v>
      </c>
      <c r="V444" s="57" t="s">
        <v>1905</v>
      </c>
      <c r="Z444" s="38" t="s">
        <v>210</v>
      </c>
      <c r="AD444" s="38" t="s">
        <v>1487</v>
      </c>
      <c r="AE444" s="38" t="s">
        <v>475</v>
      </c>
      <c r="AF444" s="152" t="s">
        <v>666</v>
      </c>
      <c r="AG444" s="38" t="s">
        <v>160</v>
      </c>
      <c r="AH444" s="155" t="s">
        <v>160</v>
      </c>
      <c r="AL444" s="38" t="s">
        <v>473</v>
      </c>
      <c r="AM444" s="38" t="s">
        <v>473</v>
      </c>
      <c r="AN444" s="38" t="s">
        <v>212</v>
      </c>
      <c r="AO444" s="38">
        <v>0</v>
      </c>
      <c r="AP444" s="38">
        <v>0</v>
      </c>
      <c r="AQ444" s="38" t="s">
        <v>212</v>
      </c>
      <c r="AR444" s="38" t="s">
        <v>192</v>
      </c>
      <c r="AS444" s="38">
        <v>4</v>
      </c>
      <c r="AT444" s="38">
        <v>4</v>
      </c>
      <c r="AU444" s="38" t="s">
        <v>379</v>
      </c>
      <c r="AW444" s="38">
        <f>(9.6+2.8)*1000</f>
        <v>12399.999999999998</v>
      </c>
      <c r="AX444" s="38">
        <f t="shared" ref="AX444" si="64">AW444/(256+66)</f>
        <v>38.509316770186331</v>
      </c>
      <c r="AY444" s="64" t="s">
        <v>485</v>
      </c>
      <c r="BM444" s="38">
        <v>11.582000000000001</v>
      </c>
      <c r="BN444" s="38">
        <v>23.082999999999998</v>
      </c>
      <c r="BO444" s="38" t="s">
        <v>484</v>
      </c>
      <c r="EJ444" s="12"/>
      <c r="EL444" s="15"/>
      <c r="FR444" s="38" t="s">
        <v>487</v>
      </c>
      <c r="FS444" s="38" t="s">
        <v>808</v>
      </c>
      <c r="FT444" s="38">
        <v>26</v>
      </c>
    </row>
    <row r="445" spans="1:176" s="38" customFormat="1" x14ac:dyDescent="0.25">
      <c r="A445" s="38">
        <v>26</v>
      </c>
      <c r="B445" s="38" t="s">
        <v>469</v>
      </c>
      <c r="C445" s="38" t="s">
        <v>470</v>
      </c>
      <c r="D445" s="38">
        <v>2015</v>
      </c>
      <c r="E445" s="38">
        <v>2012</v>
      </c>
      <c r="F445" s="38" t="s">
        <v>336</v>
      </c>
      <c r="G445" s="38" t="s">
        <v>471</v>
      </c>
      <c r="H445" s="38">
        <f t="shared" si="61"/>
        <v>35.39</v>
      </c>
      <c r="I445" s="38">
        <f t="shared" si="62"/>
        <v>-78.03</v>
      </c>
      <c r="J445" s="38">
        <v>24.3</v>
      </c>
      <c r="P445" s="57">
        <v>1</v>
      </c>
      <c r="Q445" s="57"/>
      <c r="R445" s="57" t="s">
        <v>478</v>
      </c>
      <c r="S445" s="57" t="s">
        <v>1558</v>
      </c>
      <c r="T445" s="57" t="s">
        <v>1558</v>
      </c>
      <c r="U445" s="57" t="s">
        <v>1558</v>
      </c>
      <c r="V445" s="57" t="s">
        <v>1905</v>
      </c>
      <c r="Z445" s="38" t="s">
        <v>210</v>
      </c>
      <c r="AD445" s="38" t="s">
        <v>1487</v>
      </c>
      <c r="AE445" s="38" t="s">
        <v>281</v>
      </c>
      <c r="AF445" s="152" t="s">
        <v>666</v>
      </c>
      <c r="AG445" s="38" t="s">
        <v>160</v>
      </c>
      <c r="AH445" s="155" t="s">
        <v>160</v>
      </c>
      <c r="AL445" s="38" t="s">
        <v>473</v>
      </c>
      <c r="AM445" s="38" t="s">
        <v>473</v>
      </c>
      <c r="AN445" s="38" t="s">
        <v>212</v>
      </c>
      <c r="AO445" s="38">
        <v>0</v>
      </c>
      <c r="AP445" s="38">
        <v>0</v>
      </c>
      <c r="AQ445" s="38" t="s">
        <v>212</v>
      </c>
      <c r="AR445" s="38" t="s">
        <v>192</v>
      </c>
      <c r="AS445" s="38">
        <v>4</v>
      </c>
      <c r="AT445" s="38">
        <v>4</v>
      </c>
      <c r="AU445" s="38" t="s">
        <v>379</v>
      </c>
      <c r="AW445" s="38">
        <f>(8.7+2.5)*1000</f>
        <v>11200</v>
      </c>
      <c r="AX445" s="38">
        <f t="shared" ref="AX445" si="65">AW445/(288+71)</f>
        <v>31.197771587743734</v>
      </c>
      <c r="AY445" s="64" t="s">
        <v>485</v>
      </c>
      <c r="BM445" s="38">
        <v>11.582000000000001</v>
      </c>
      <c r="BN445" s="38">
        <v>42.25</v>
      </c>
      <c r="BO445" s="38" t="s">
        <v>484</v>
      </c>
      <c r="EJ445" s="12"/>
      <c r="EL445" s="15"/>
      <c r="FR445" s="38" t="s">
        <v>487</v>
      </c>
      <c r="FS445" s="38" t="s">
        <v>808</v>
      </c>
      <c r="FT445" s="38">
        <v>26</v>
      </c>
    </row>
    <row r="446" spans="1:176" s="38" customFormat="1" x14ac:dyDescent="0.25">
      <c r="A446" s="38">
        <v>26</v>
      </c>
      <c r="B446" s="38" t="s">
        <v>469</v>
      </c>
      <c r="C446" s="38" t="s">
        <v>470</v>
      </c>
      <c r="D446" s="38">
        <v>2015</v>
      </c>
      <c r="E446" s="38">
        <v>2012</v>
      </c>
      <c r="F446" s="38" t="s">
        <v>336</v>
      </c>
      <c r="G446" s="38" t="s">
        <v>471</v>
      </c>
      <c r="H446" s="38">
        <f t="shared" si="61"/>
        <v>35.39</v>
      </c>
      <c r="I446" s="38">
        <f t="shared" si="62"/>
        <v>-78.03</v>
      </c>
      <c r="J446" s="38">
        <v>24.3</v>
      </c>
      <c r="P446" s="57">
        <v>1</v>
      </c>
      <c r="Q446" s="57"/>
      <c r="R446" s="57" t="s">
        <v>479</v>
      </c>
      <c r="S446" s="57" t="s">
        <v>1558</v>
      </c>
      <c r="T446" s="57" t="s">
        <v>1558</v>
      </c>
      <c r="U446" s="57" t="s">
        <v>1558</v>
      </c>
      <c r="V446" s="57" t="s">
        <v>1905</v>
      </c>
      <c r="Z446" s="38" t="s">
        <v>210</v>
      </c>
      <c r="AD446" s="38" t="s">
        <v>1487</v>
      </c>
      <c r="AE446" s="38" t="s">
        <v>474</v>
      </c>
      <c r="AF446" s="152" t="s">
        <v>666</v>
      </c>
      <c r="AG446" s="38" t="s">
        <v>160</v>
      </c>
      <c r="AH446" s="155" t="s">
        <v>160</v>
      </c>
      <c r="AL446" s="38" t="s">
        <v>473</v>
      </c>
      <c r="AM446" s="38" t="s">
        <v>473</v>
      </c>
      <c r="AN446" s="38" t="s">
        <v>212</v>
      </c>
      <c r="AO446" s="38">
        <v>0</v>
      </c>
      <c r="AP446" s="38">
        <v>0</v>
      </c>
      <c r="AQ446" s="38" t="s">
        <v>212</v>
      </c>
      <c r="AR446" s="38" t="s">
        <v>192</v>
      </c>
      <c r="AS446" s="38">
        <v>4</v>
      </c>
      <c r="AT446" s="38">
        <v>4</v>
      </c>
      <c r="AU446" s="38" t="s">
        <v>379</v>
      </c>
      <c r="AW446" s="38">
        <f>(6.5+1.7)*1000</f>
        <v>8200</v>
      </c>
      <c r="AX446" s="38">
        <f t="shared" ref="AX446" si="66">AW446/(205+53)</f>
        <v>31.782945736434108</v>
      </c>
      <c r="AY446" s="64" t="s">
        <v>485</v>
      </c>
      <c r="BM446" s="38">
        <v>12.153</v>
      </c>
      <c r="BN446" s="38">
        <v>21.289000000000001</v>
      </c>
      <c r="BO446" s="38" t="s">
        <v>484</v>
      </c>
      <c r="EJ446" s="12"/>
      <c r="EL446" s="15"/>
      <c r="FR446" s="38" t="s">
        <v>487</v>
      </c>
      <c r="FS446" s="38" t="s">
        <v>808</v>
      </c>
      <c r="FT446" s="38">
        <v>26</v>
      </c>
    </row>
    <row r="447" spans="1:176" s="38" customFormat="1" x14ac:dyDescent="0.25">
      <c r="A447" s="38">
        <v>26</v>
      </c>
      <c r="B447" s="38" t="s">
        <v>469</v>
      </c>
      <c r="C447" s="38" t="s">
        <v>470</v>
      </c>
      <c r="D447" s="38">
        <v>2015</v>
      </c>
      <c r="E447" s="38">
        <v>2012</v>
      </c>
      <c r="F447" s="38" t="s">
        <v>336</v>
      </c>
      <c r="G447" s="38" t="s">
        <v>471</v>
      </c>
      <c r="H447" s="38">
        <f t="shared" si="61"/>
        <v>35.39</v>
      </c>
      <c r="I447" s="38">
        <f t="shared" si="62"/>
        <v>-78.03</v>
      </c>
      <c r="J447" s="38">
        <v>24.3</v>
      </c>
      <c r="P447" s="57">
        <v>1</v>
      </c>
      <c r="Q447" s="57"/>
      <c r="R447" s="57" t="s">
        <v>479</v>
      </c>
      <c r="S447" s="57" t="s">
        <v>1558</v>
      </c>
      <c r="T447" s="57" t="s">
        <v>1558</v>
      </c>
      <c r="U447" s="57" t="s">
        <v>1558</v>
      </c>
      <c r="V447" s="57" t="s">
        <v>1905</v>
      </c>
      <c r="Z447" s="38" t="s">
        <v>210</v>
      </c>
      <c r="AD447" s="38" t="s">
        <v>1487</v>
      </c>
      <c r="AE447" s="38" t="s">
        <v>475</v>
      </c>
      <c r="AF447" s="152" t="s">
        <v>666</v>
      </c>
      <c r="AG447" s="38" t="s">
        <v>160</v>
      </c>
      <c r="AH447" s="155" t="s">
        <v>160</v>
      </c>
      <c r="AL447" s="38" t="s">
        <v>473</v>
      </c>
      <c r="AM447" s="38" t="s">
        <v>473</v>
      </c>
      <c r="AN447" s="38" t="s">
        <v>212</v>
      </c>
      <c r="AO447" s="38">
        <v>0</v>
      </c>
      <c r="AP447" s="38">
        <v>0</v>
      </c>
      <c r="AQ447" s="38" t="s">
        <v>212</v>
      </c>
      <c r="AR447" s="38" t="s">
        <v>192</v>
      </c>
      <c r="AS447" s="38">
        <v>4</v>
      </c>
      <c r="AT447" s="38">
        <v>4</v>
      </c>
      <c r="AU447" s="38" t="s">
        <v>379</v>
      </c>
      <c r="AW447" s="38">
        <f>(9.6+2.8)*1000</f>
        <v>12399.999999999998</v>
      </c>
      <c r="AX447" s="38">
        <f t="shared" ref="AX447" si="67">AW447/(256+66)</f>
        <v>38.509316770186331</v>
      </c>
      <c r="AY447" s="64" t="s">
        <v>485</v>
      </c>
      <c r="BM447" s="38">
        <v>12.153</v>
      </c>
      <c r="BN447" s="38">
        <v>26.346</v>
      </c>
      <c r="BO447" s="38" t="s">
        <v>484</v>
      </c>
      <c r="EJ447" s="12"/>
      <c r="EL447" s="15"/>
      <c r="FR447" s="38" t="s">
        <v>487</v>
      </c>
      <c r="FS447" s="38" t="s">
        <v>808</v>
      </c>
      <c r="FT447" s="38">
        <v>26</v>
      </c>
    </row>
    <row r="448" spans="1:176" s="38" customFormat="1" x14ac:dyDescent="0.25">
      <c r="A448" s="38">
        <v>26</v>
      </c>
      <c r="B448" s="38" t="s">
        <v>469</v>
      </c>
      <c r="C448" s="38" t="s">
        <v>470</v>
      </c>
      <c r="D448" s="38">
        <v>2015</v>
      </c>
      <c r="E448" s="38">
        <v>2012</v>
      </c>
      <c r="F448" s="38" t="s">
        <v>336</v>
      </c>
      <c r="G448" s="38" t="s">
        <v>471</v>
      </c>
      <c r="H448" s="38">
        <f t="shared" si="61"/>
        <v>35.39</v>
      </c>
      <c r="I448" s="38">
        <f t="shared" si="62"/>
        <v>-78.03</v>
      </c>
      <c r="J448" s="38">
        <v>24.3</v>
      </c>
      <c r="P448" s="57">
        <v>1</v>
      </c>
      <c r="Q448" s="57"/>
      <c r="R448" s="57" t="s">
        <v>479</v>
      </c>
      <c r="S448" s="57" t="s">
        <v>1558</v>
      </c>
      <c r="T448" s="57" t="s">
        <v>1558</v>
      </c>
      <c r="U448" s="57" t="s">
        <v>1558</v>
      </c>
      <c r="V448" s="57" t="s">
        <v>1905</v>
      </c>
      <c r="Z448" s="38" t="s">
        <v>210</v>
      </c>
      <c r="AD448" s="38" t="s">
        <v>1487</v>
      </c>
      <c r="AE448" s="38" t="s">
        <v>281</v>
      </c>
      <c r="AF448" s="152" t="s">
        <v>666</v>
      </c>
      <c r="AG448" s="38" t="s">
        <v>160</v>
      </c>
      <c r="AH448" s="155" t="s">
        <v>160</v>
      </c>
      <c r="AL448" s="38" t="s">
        <v>473</v>
      </c>
      <c r="AM448" s="38" t="s">
        <v>473</v>
      </c>
      <c r="AN448" s="38" t="s">
        <v>212</v>
      </c>
      <c r="AO448" s="38">
        <v>0</v>
      </c>
      <c r="AP448" s="38">
        <v>0</v>
      </c>
      <c r="AQ448" s="38" t="s">
        <v>212</v>
      </c>
      <c r="AR448" s="38" t="s">
        <v>192</v>
      </c>
      <c r="AS448" s="38">
        <v>4</v>
      </c>
      <c r="AT448" s="38">
        <v>4</v>
      </c>
      <c r="AU448" s="38" t="s">
        <v>379</v>
      </c>
      <c r="AW448" s="38">
        <f>(8.7+2.5)*1000</f>
        <v>11200</v>
      </c>
      <c r="AX448" s="38">
        <f t="shared" ref="AX448" si="68">AW448/(288+71)</f>
        <v>31.197771587743734</v>
      </c>
      <c r="AY448" s="64" t="s">
        <v>485</v>
      </c>
      <c r="BM448" s="38">
        <v>12.153</v>
      </c>
      <c r="BN448" s="38">
        <v>31.65</v>
      </c>
      <c r="BO448" s="38" t="s">
        <v>484</v>
      </c>
      <c r="EJ448" s="12"/>
      <c r="EL448" s="15"/>
      <c r="FR448" s="38" t="s">
        <v>487</v>
      </c>
      <c r="FS448" s="38" t="s">
        <v>808</v>
      </c>
      <c r="FT448" s="38">
        <v>26</v>
      </c>
    </row>
    <row r="449" spans="1:176" s="38" customFormat="1" x14ac:dyDescent="0.25">
      <c r="A449" s="38">
        <v>26</v>
      </c>
      <c r="B449" s="38" t="s">
        <v>469</v>
      </c>
      <c r="C449" s="38" t="s">
        <v>470</v>
      </c>
      <c r="D449" s="38">
        <v>2015</v>
      </c>
      <c r="E449" s="38">
        <v>2012</v>
      </c>
      <c r="F449" s="38" t="s">
        <v>336</v>
      </c>
      <c r="G449" s="38" t="s">
        <v>471</v>
      </c>
      <c r="H449" s="38">
        <f t="shared" si="61"/>
        <v>35.39</v>
      </c>
      <c r="I449" s="38">
        <f t="shared" si="62"/>
        <v>-78.03</v>
      </c>
      <c r="J449" s="38">
        <v>24.3</v>
      </c>
      <c r="P449" s="57">
        <v>1</v>
      </c>
      <c r="Q449" s="57"/>
      <c r="R449" s="57" t="s">
        <v>480</v>
      </c>
      <c r="S449" s="57" t="s">
        <v>1558</v>
      </c>
      <c r="T449" s="57" t="s">
        <v>1558</v>
      </c>
      <c r="U449" s="57" t="s">
        <v>1558</v>
      </c>
      <c r="V449" s="57" t="s">
        <v>1905</v>
      </c>
      <c r="Z449" s="38" t="s">
        <v>210</v>
      </c>
      <c r="AD449" s="38" t="s">
        <v>1487</v>
      </c>
      <c r="AE449" s="38" t="s">
        <v>474</v>
      </c>
      <c r="AF449" s="152" t="s">
        <v>666</v>
      </c>
      <c r="AG449" s="38" t="s">
        <v>160</v>
      </c>
      <c r="AH449" s="155" t="s">
        <v>160</v>
      </c>
      <c r="AL449" s="38" t="s">
        <v>473</v>
      </c>
      <c r="AM449" s="38" t="s">
        <v>473</v>
      </c>
      <c r="AN449" s="38" t="s">
        <v>212</v>
      </c>
      <c r="AO449" s="38">
        <v>0</v>
      </c>
      <c r="AP449" s="38">
        <v>0</v>
      </c>
      <c r="AQ449" s="38" t="s">
        <v>212</v>
      </c>
      <c r="AR449" s="38" t="s">
        <v>192</v>
      </c>
      <c r="AS449" s="38">
        <v>4</v>
      </c>
      <c r="AT449" s="38">
        <v>4</v>
      </c>
      <c r="AU449" s="38" t="s">
        <v>379</v>
      </c>
      <c r="AW449" s="38">
        <f>(6.5+1.7)*1000</f>
        <v>8200</v>
      </c>
      <c r="AX449" s="38">
        <f t="shared" ref="AX449" si="69">AW449/(205+53)</f>
        <v>31.782945736434108</v>
      </c>
      <c r="AY449" s="64" t="s">
        <v>485</v>
      </c>
      <c r="BM449" s="38">
        <v>12.643000000000001</v>
      </c>
      <c r="BN449" s="38">
        <v>15.497999999999999</v>
      </c>
      <c r="BO449" s="38" t="s">
        <v>484</v>
      </c>
      <c r="EJ449" s="12"/>
      <c r="EL449" s="15"/>
      <c r="FR449" s="38" t="s">
        <v>487</v>
      </c>
      <c r="FS449" s="38" t="s">
        <v>808</v>
      </c>
      <c r="FT449" s="38">
        <v>26</v>
      </c>
    </row>
    <row r="450" spans="1:176" s="38" customFormat="1" x14ac:dyDescent="0.25">
      <c r="A450" s="38">
        <v>26</v>
      </c>
      <c r="B450" s="38" t="s">
        <v>469</v>
      </c>
      <c r="C450" s="38" t="s">
        <v>470</v>
      </c>
      <c r="D450" s="38">
        <v>2015</v>
      </c>
      <c r="E450" s="38">
        <v>2012</v>
      </c>
      <c r="F450" s="38" t="s">
        <v>336</v>
      </c>
      <c r="G450" s="38" t="s">
        <v>471</v>
      </c>
      <c r="H450" s="38">
        <f t="shared" si="61"/>
        <v>35.39</v>
      </c>
      <c r="I450" s="38">
        <f t="shared" si="62"/>
        <v>-78.03</v>
      </c>
      <c r="J450" s="38">
        <v>24.3</v>
      </c>
      <c r="P450" s="57">
        <v>1</v>
      </c>
      <c r="Q450" s="57"/>
      <c r="R450" s="57" t="s">
        <v>480</v>
      </c>
      <c r="S450" s="57" t="s">
        <v>1558</v>
      </c>
      <c r="T450" s="57" t="s">
        <v>1558</v>
      </c>
      <c r="U450" s="57" t="s">
        <v>1558</v>
      </c>
      <c r="V450" s="57" t="s">
        <v>1905</v>
      </c>
      <c r="Z450" s="38" t="s">
        <v>210</v>
      </c>
      <c r="AD450" s="38" t="s">
        <v>1487</v>
      </c>
      <c r="AE450" s="38" t="s">
        <v>475</v>
      </c>
      <c r="AF450" s="152" t="s">
        <v>666</v>
      </c>
      <c r="AG450" s="38" t="s">
        <v>160</v>
      </c>
      <c r="AH450" s="155" t="s">
        <v>160</v>
      </c>
      <c r="AL450" s="38" t="s">
        <v>473</v>
      </c>
      <c r="AM450" s="38" t="s">
        <v>473</v>
      </c>
      <c r="AN450" s="38" t="s">
        <v>212</v>
      </c>
      <c r="AO450" s="38">
        <v>0</v>
      </c>
      <c r="AP450" s="38">
        <v>0</v>
      </c>
      <c r="AQ450" s="38" t="s">
        <v>212</v>
      </c>
      <c r="AR450" s="38" t="s">
        <v>192</v>
      </c>
      <c r="AS450" s="38">
        <v>4</v>
      </c>
      <c r="AT450" s="38">
        <v>4</v>
      </c>
      <c r="AU450" s="38" t="s">
        <v>379</v>
      </c>
      <c r="AW450" s="38">
        <f>(9.6+2.8)*1000</f>
        <v>12399.999999999998</v>
      </c>
      <c r="AX450" s="38">
        <f t="shared" ref="AX450" si="70">AW450/(256+66)</f>
        <v>38.509316770186331</v>
      </c>
      <c r="AY450" s="64" t="s">
        <v>485</v>
      </c>
      <c r="BM450" s="38">
        <v>12.643000000000001</v>
      </c>
      <c r="BN450" s="38">
        <v>26.75</v>
      </c>
      <c r="BO450" s="38" t="s">
        <v>484</v>
      </c>
      <c r="EJ450" s="12"/>
      <c r="EL450" s="15"/>
      <c r="FR450" s="38" t="s">
        <v>487</v>
      </c>
      <c r="FS450" s="38" t="s">
        <v>808</v>
      </c>
      <c r="FT450" s="38">
        <v>26</v>
      </c>
    </row>
    <row r="451" spans="1:176" s="38" customFormat="1" x14ac:dyDescent="0.25">
      <c r="A451" s="38">
        <v>26</v>
      </c>
      <c r="B451" s="38" t="s">
        <v>469</v>
      </c>
      <c r="C451" s="38" t="s">
        <v>470</v>
      </c>
      <c r="D451" s="38">
        <v>2015</v>
      </c>
      <c r="E451" s="38">
        <v>2012</v>
      </c>
      <c r="F451" s="38" t="s">
        <v>336</v>
      </c>
      <c r="G451" s="38" t="s">
        <v>471</v>
      </c>
      <c r="H451" s="38">
        <f t="shared" si="61"/>
        <v>35.39</v>
      </c>
      <c r="I451" s="38">
        <f t="shared" si="62"/>
        <v>-78.03</v>
      </c>
      <c r="J451" s="38">
        <v>24.3</v>
      </c>
      <c r="P451" s="57">
        <v>1</v>
      </c>
      <c r="Q451" s="57"/>
      <c r="R451" s="57" t="s">
        <v>480</v>
      </c>
      <c r="S451" s="57" t="s">
        <v>1558</v>
      </c>
      <c r="T451" s="57" t="s">
        <v>1558</v>
      </c>
      <c r="U451" s="57" t="s">
        <v>1558</v>
      </c>
      <c r="V451" s="57" t="s">
        <v>1905</v>
      </c>
      <c r="Z451" s="38" t="s">
        <v>210</v>
      </c>
      <c r="AD451" s="38" t="s">
        <v>1487</v>
      </c>
      <c r="AE451" s="38" t="s">
        <v>281</v>
      </c>
      <c r="AF451" s="152" t="s">
        <v>666</v>
      </c>
      <c r="AG451" s="38" t="s">
        <v>160</v>
      </c>
      <c r="AH451" s="155" t="s">
        <v>160</v>
      </c>
      <c r="AL451" s="38" t="s">
        <v>473</v>
      </c>
      <c r="AM451" s="38" t="s">
        <v>473</v>
      </c>
      <c r="AN451" s="38" t="s">
        <v>212</v>
      </c>
      <c r="AO451" s="38">
        <v>0</v>
      </c>
      <c r="AP451" s="38">
        <v>0</v>
      </c>
      <c r="AQ451" s="38" t="s">
        <v>212</v>
      </c>
      <c r="AR451" s="38" t="s">
        <v>192</v>
      </c>
      <c r="AS451" s="38">
        <v>4</v>
      </c>
      <c r="AT451" s="38">
        <v>4</v>
      </c>
      <c r="AU451" s="38" t="s">
        <v>379</v>
      </c>
      <c r="AW451" s="38">
        <f>(8.7+2.5)*1000</f>
        <v>11200</v>
      </c>
      <c r="AX451" s="38">
        <f t="shared" ref="AX451" si="71">AW451/(288+71)</f>
        <v>31.197771587743734</v>
      </c>
      <c r="AY451" s="64" t="s">
        <v>485</v>
      </c>
      <c r="BM451" s="38">
        <v>12.643000000000001</v>
      </c>
      <c r="BN451" s="38">
        <v>42.66</v>
      </c>
      <c r="BO451" s="38" t="s">
        <v>484</v>
      </c>
      <c r="EJ451" s="12"/>
      <c r="EL451" s="15"/>
      <c r="FR451" s="38" t="s">
        <v>487</v>
      </c>
      <c r="FS451" s="38" t="s">
        <v>808</v>
      </c>
      <c r="FT451" s="38">
        <v>26</v>
      </c>
    </row>
    <row r="452" spans="1:176" s="38" customFormat="1" x14ac:dyDescent="0.25">
      <c r="A452" s="38">
        <v>26</v>
      </c>
      <c r="B452" s="38" t="s">
        <v>469</v>
      </c>
      <c r="C452" s="38" t="s">
        <v>470</v>
      </c>
      <c r="D452" s="38">
        <v>2015</v>
      </c>
      <c r="E452" s="38">
        <v>2012</v>
      </c>
      <c r="F452" s="38" t="s">
        <v>336</v>
      </c>
      <c r="G452" s="38" t="s">
        <v>471</v>
      </c>
      <c r="H452" s="38">
        <f t="shared" si="61"/>
        <v>35.39</v>
      </c>
      <c r="I452" s="38">
        <f t="shared" si="62"/>
        <v>-78.03</v>
      </c>
      <c r="J452" s="38">
        <v>24.3</v>
      </c>
      <c r="P452" s="57">
        <v>1</v>
      </c>
      <c r="Q452" s="57"/>
      <c r="R452" s="57" t="s">
        <v>481</v>
      </c>
      <c r="S452" s="57" t="s">
        <v>1558</v>
      </c>
      <c r="T452" s="57" t="s">
        <v>1558</v>
      </c>
      <c r="U452" s="57" t="s">
        <v>1558</v>
      </c>
      <c r="V452" s="57" t="s">
        <v>1905</v>
      </c>
      <c r="Z452" s="38" t="s">
        <v>210</v>
      </c>
      <c r="AD452" s="38" t="s">
        <v>1487</v>
      </c>
      <c r="AE452" s="38" t="s">
        <v>474</v>
      </c>
      <c r="AF452" s="152" t="s">
        <v>666</v>
      </c>
      <c r="AG452" s="38" t="s">
        <v>160</v>
      </c>
      <c r="AH452" s="155" t="s">
        <v>160</v>
      </c>
      <c r="AL452" s="38" t="s">
        <v>473</v>
      </c>
      <c r="AM452" s="38" t="s">
        <v>473</v>
      </c>
      <c r="AN452" s="38" t="s">
        <v>212</v>
      </c>
      <c r="AO452" s="38">
        <v>0</v>
      </c>
      <c r="AP452" s="38">
        <v>0</v>
      </c>
      <c r="AQ452" s="38" t="s">
        <v>212</v>
      </c>
      <c r="AR452" s="38" t="s">
        <v>192</v>
      </c>
      <c r="AS452" s="38">
        <v>4</v>
      </c>
      <c r="AT452" s="38">
        <v>4</v>
      </c>
      <c r="AU452" s="38" t="s">
        <v>379</v>
      </c>
      <c r="AW452" s="38">
        <f>(6.5+1.7)*1000</f>
        <v>8200</v>
      </c>
      <c r="AX452" s="38">
        <f t="shared" ref="AX452" si="72">AW452/(205+53)</f>
        <v>31.782945736434108</v>
      </c>
      <c r="AY452" s="64" t="s">
        <v>485</v>
      </c>
      <c r="BM452" s="38">
        <v>4.3230000000000004</v>
      </c>
      <c r="BN452" s="38">
        <v>10.93</v>
      </c>
      <c r="BO452" s="38" t="s">
        <v>484</v>
      </c>
      <c r="EJ452" s="12"/>
      <c r="EL452" s="15"/>
      <c r="FR452" s="38" t="s">
        <v>487</v>
      </c>
      <c r="FS452" s="38" t="s">
        <v>808</v>
      </c>
      <c r="FT452" s="38">
        <v>26</v>
      </c>
    </row>
    <row r="453" spans="1:176" s="38" customFormat="1" x14ac:dyDescent="0.25">
      <c r="A453" s="38">
        <v>26</v>
      </c>
      <c r="B453" s="38" t="s">
        <v>469</v>
      </c>
      <c r="C453" s="38" t="s">
        <v>470</v>
      </c>
      <c r="D453" s="38">
        <v>2015</v>
      </c>
      <c r="E453" s="38">
        <v>2012</v>
      </c>
      <c r="F453" s="38" t="s">
        <v>336</v>
      </c>
      <c r="G453" s="38" t="s">
        <v>471</v>
      </c>
      <c r="H453" s="38">
        <f t="shared" si="61"/>
        <v>35.39</v>
      </c>
      <c r="I453" s="38">
        <f t="shared" si="62"/>
        <v>-78.03</v>
      </c>
      <c r="J453" s="38">
        <v>24.3</v>
      </c>
      <c r="P453" s="57">
        <v>1</v>
      </c>
      <c r="Q453" s="57"/>
      <c r="R453" s="57" t="s">
        <v>481</v>
      </c>
      <c r="S453" s="57" t="s">
        <v>1558</v>
      </c>
      <c r="T453" s="57" t="s">
        <v>1558</v>
      </c>
      <c r="U453" s="57" t="s">
        <v>1558</v>
      </c>
      <c r="V453" s="57" t="s">
        <v>1905</v>
      </c>
      <c r="Z453" s="38" t="s">
        <v>210</v>
      </c>
      <c r="AD453" s="38" t="s">
        <v>1487</v>
      </c>
      <c r="AE453" s="38" t="s">
        <v>475</v>
      </c>
      <c r="AF453" s="152" t="s">
        <v>666</v>
      </c>
      <c r="AG453" s="38" t="s">
        <v>160</v>
      </c>
      <c r="AH453" s="155" t="s">
        <v>160</v>
      </c>
      <c r="AL453" s="38" t="s">
        <v>473</v>
      </c>
      <c r="AM453" s="38" t="s">
        <v>473</v>
      </c>
      <c r="AN453" s="38" t="s">
        <v>212</v>
      </c>
      <c r="AO453" s="38">
        <v>0</v>
      </c>
      <c r="AP453" s="38">
        <v>0</v>
      </c>
      <c r="AQ453" s="38" t="s">
        <v>212</v>
      </c>
      <c r="AR453" s="38" t="s">
        <v>192</v>
      </c>
      <c r="AS453" s="38">
        <v>4</v>
      </c>
      <c r="AT453" s="38">
        <v>4</v>
      </c>
      <c r="AU453" s="38" t="s">
        <v>379</v>
      </c>
      <c r="AW453" s="38">
        <f>(9.6+2.8)*1000</f>
        <v>12399.999999999998</v>
      </c>
      <c r="AX453" s="38">
        <f t="shared" ref="AX453" si="73">AW453/(256+66)</f>
        <v>38.509316770186331</v>
      </c>
      <c r="AY453" s="64" t="s">
        <v>485</v>
      </c>
      <c r="BM453" s="38">
        <v>4.3230000000000004</v>
      </c>
      <c r="BN453" s="38">
        <v>6.1180000000000003</v>
      </c>
      <c r="BO453" s="38" t="s">
        <v>484</v>
      </c>
      <c r="EJ453" s="12"/>
      <c r="EL453" s="15"/>
      <c r="FR453" s="38" t="s">
        <v>487</v>
      </c>
      <c r="FS453" s="38" t="s">
        <v>808</v>
      </c>
      <c r="FT453" s="38">
        <v>26</v>
      </c>
    </row>
    <row r="454" spans="1:176" s="38" customFormat="1" x14ac:dyDescent="0.25">
      <c r="A454" s="38">
        <v>26</v>
      </c>
      <c r="B454" s="38" t="s">
        <v>469</v>
      </c>
      <c r="C454" s="38" t="s">
        <v>470</v>
      </c>
      <c r="D454" s="38">
        <v>2015</v>
      </c>
      <c r="E454" s="38">
        <v>2012</v>
      </c>
      <c r="F454" s="38" t="s">
        <v>336</v>
      </c>
      <c r="G454" s="38" t="s">
        <v>471</v>
      </c>
      <c r="H454" s="38">
        <f t="shared" si="61"/>
        <v>35.39</v>
      </c>
      <c r="I454" s="38">
        <f t="shared" si="62"/>
        <v>-78.03</v>
      </c>
      <c r="J454" s="38">
        <v>24.3</v>
      </c>
      <c r="P454" s="57">
        <v>1</v>
      </c>
      <c r="Q454" s="57"/>
      <c r="R454" s="57" t="s">
        <v>481</v>
      </c>
      <c r="S454" s="57" t="s">
        <v>1558</v>
      </c>
      <c r="T454" s="57" t="s">
        <v>1558</v>
      </c>
      <c r="U454" s="57" t="s">
        <v>1558</v>
      </c>
      <c r="V454" s="57" t="s">
        <v>1905</v>
      </c>
      <c r="Z454" s="38" t="s">
        <v>210</v>
      </c>
      <c r="AD454" s="38" t="s">
        <v>1487</v>
      </c>
      <c r="AE454" s="38" t="s">
        <v>281</v>
      </c>
      <c r="AF454" s="152" t="s">
        <v>666</v>
      </c>
      <c r="AG454" s="38" t="s">
        <v>160</v>
      </c>
      <c r="AH454" s="155" t="s">
        <v>160</v>
      </c>
      <c r="AL454" s="38" t="s">
        <v>473</v>
      </c>
      <c r="AM454" s="38" t="s">
        <v>473</v>
      </c>
      <c r="AN454" s="38" t="s">
        <v>212</v>
      </c>
      <c r="AO454" s="38">
        <v>0</v>
      </c>
      <c r="AP454" s="38">
        <v>0</v>
      </c>
      <c r="AQ454" s="38" t="s">
        <v>212</v>
      </c>
      <c r="AR454" s="38" t="s">
        <v>192</v>
      </c>
      <c r="AS454" s="38">
        <v>4</v>
      </c>
      <c r="AT454" s="38">
        <v>4</v>
      </c>
      <c r="AU454" s="38" t="s">
        <v>379</v>
      </c>
      <c r="AW454" s="38">
        <f>(8.7+2.5)*1000</f>
        <v>11200</v>
      </c>
      <c r="AX454" s="38">
        <f t="shared" ref="AX454" si="74">AW454/(288+71)</f>
        <v>31.197771587743734</v>
      </c>
      <c r="AY454" s="64" t="s">
        <v>485</v>
      </c>
      <c r="BM454" s="38">
        <v>4.3230000000000004</v>
      </c>
      <c r="BN454" s="38">
        <v>10.93</v>
      </c>
      <c r="BO454" s="38" t="s">
        <v>484</v>
      </c>
      <c r="EJ454" s="12"/>
      <c r="EL454" s="15"/>
      <c r="FR454" s="38" t="s">
        <v>487</v>
      </c>
      <c r="FS454" s="38" t="s">
        <v>808</v>
      </c>
      <c r="FT454" s="38">
        <v>26</v>
      </c>
    </row>
    <row r="455" spans="1:176" s="38" customFormat="1" x14ac:dyDescent="0.25">
      <c r="A455" s="38">
        <v>26</v>
      </c>
      <c r="B455" s="38" t="s">
        <v>469</v>
      </c>
      <c r="C455" s="38" t="s">
        <v>470</v>
      </c>
      <c r="D455" s="38">
        <v>2015</v>
      </c>
      <c r="E455" s="38">
        <v>2012</v>
      </c>
      <c r="F455" s="38" t="s">
        <v>336</v>
      </c>
      <c r="G455" s="38" t="s">
        <v>471</v>
      </c>
      <c r="H455" s="38">
        <f t="shared" si="61"/>
        <v>35.39</v>
      </c>
      <c r="I455" s="38">
        <f t="shared" si="62"/>
        <v>-78.03</v>
      </c>
      <c r="J455" s="38">
        <v>24.3</v>
      </c>
      <c r="P455" s="57">
        <v>1</v>
      </c>
      <c r="Q455" s="57"/>
      <c r="R455" s="57" t="s">
        <v>482</v>
      </c>
      <c r="S455" s="57" t="s">
        <v>1558</v>
      </c>
      <c r="T455" s="57" t="s">
        <v>1558</v>
      </c>
      <c r="U455" s="57" t="s">
        <v>1558</v>
      </c>
      <c r="V455" s="57" t="s">
        <v>1905</v>
      </c>
      <c r="Z455" s="38" t="s">
        <v>210</v>
      </c>
      <c r="AD455" s="38" t="s">
        <v>1487</v>
      </c>
      <c r="AE455" s="38" t="s">
        <v>474</v>
      </c>
      <c r="AF455" s="152" t="s">
        <v>666</v>
      </c>
      <c r="AG455" s="38" t="s">
        <v>160</v>
      </c>
      <c r="AH455" s="155" t="s">
        <v>160</v>
      </c>
      <c r="AL455" s="38" t="s">
        <v>473</v>
      </c>
      <c r="AM455" s="38" t="s">
        <v>473</v>
      </c>
      <c r="AN455" s="38" t="s">
        <v>212</v>
      </c>
      <c r="AO455" s="38">
        <v>0</v>
      </c>
      <c r="AP455" s="38">
        <v>0</v>
      </c>
      <c r="AQ455" s="38" t="s">
        <v>212</v>
      </c>
      <c r="AR455" s="38" t="s">
        <v>192</v>
      </c>
      <c r="AS455" s="38">
        <v>4</v>
      </c>
      <c r="AT455" s="38">
        <v>4</v>
      </c>
      <c r="AU455" s="38" t="s">
        <v>379</v>
      </c>
      <c r="AW455" s="38">
        <f>(6.5+1.7)*1000</f>
        <v>8200</v>
      </c>
      <c r="AX455" s="38">
        <f t="shared" ref="AX455" si="75">AW455/(205+53)</f>
        <v>31.782945736434108</v>
      </c>
      <c r="AY455" s="64" t="s">
        <v>485</v>
      </c>
      <c r="BM455" s="38">
        <v>2.0390000000000001</v>
      </c>
      <c r="BN455" s="38">
        <v>4.649</v>
      </c>
      <c r="BO455" s="38" t="s">
        <v>484</v>
      </c>
      <c r="EJ455" s="12"/>
      <c r="EL455" s="15"/>
      <c r="FR455" s="38" t="s">
        <v>487</v>
      </c>
      <c r="FS455" s="38" t="s">
        <v>808</v>
      </c>
      <c r="FT455" s="38">
        <v>26</v>
      </c>
    </row>
    <row r="456" spans="1:176" s="38" customFormat="1" x14ac:dyDescent="0.25">
      <c r="A456" s="38">
        <v>26</v>
      </c>
      <c r="B456" s="38" t="s">
        <v>469</v>
      </c>
      <c r="C456" s="38" t="s">
        <v>470</v>
      </c>
      <c r="D456" s="38">
        <v>2015</v>
      </c>
      <c r="E456" s="38">
        <v>2012</v>
      </c>
      <c r="F456" s="38" t="s">
        <v>336</v>
      </c>
      <c r="G456" s="38" t="s">
        <v>471</v>
      </c>
      <c r="H456" s="38">
        <f t="shared" si="61"/>
        <v>35.39</v>
      </c>
      <c r="I456" s="38">
        <f t="shared" si="62"/>
        <v>-78.03</v>
      </c>
      <c r="J456" s="38">
        <v>24.3</v>
      </c>
      <c r="P456" s="57">
        <v>1</v>
      </c>
      <c r="Q456" s="57"/>
      <c r="R456" s="57" t="s">
        <v>482</v>
      </c>
      <c r="S456" s="57" t="s">
        <v>1558</v>
      </c>
      <c r="T456" s="57" t="s">
        <v>1558</v>
      </c>
      <c r="U456" s="57" t="s">
        <v>1558</v>
      </c>
      <c r="V456" s="57" t="s">
        <v>1905</v>
      </c>
      <c r="Z456" s="38" t="s">
        <v>210</v>
      </c>
      <c r="AD456" s="38" t="s">
        <v>1487</v>
      </c>
      <c r="AE456" s="38" t="s">
        <v>475</v>
      </c>
      <c r="AF456" s="152" t="s">
        <v>666</v>
      </c>
      <c r="AG456" s="38" t="s">
        <v>160</v>
      </c>
      <c r="AH456" s="155" t="s">
        <v>160</v>
      </c>
      <c r="AL456" s="38" t="s">
        <v>473</v>
      </c>
      <c r="AM456" s="38" t="s">
        <v>473</v>
      </c>
      <c r="AN456" s="38" t="s">
        <v>212</v>
      </c>
      <c r="AO456" s="38">
        <v>0</v>
      </c>
      <c r="AP456" s="38">
        <v>0</v>
      </c>
      <c r="AQ456" s="38" t="s">
        <v>212</v>
      </c>
      <c r="AR456" s="38" t="s">
        <v>192</v>
      </c>
      <c r="AS456" s="38">
        <v>4</v>
      </c>
      <c r="AT456" s="38">
        <v>4</v>
      </c>
      <c r="AU456" s="38" t="s">
        <v>379</v>
      </c>
      <c r="AW456" s="38">
        <f>(9.6+2.8)*1000</f>
        <v>12399.999999999998</v>
      </c>
      <c r="AX456" s="38">
        <f t="shared" ref="AX456" si="76">AW456/(256+66)</f>
        <v>38.509316770186331</v>
      </c>
      <c r="AY456" s="64" t="s">
        <v>485</v>
      </c>
      <c r="BM456" s="38">
        <v>2.0390000000000001</v>
      </c>
      <c r="BN456" s="38">
        <v>5.6280000000000001</v>
      </c>
      <c r="BO456" s="38" t="s">
        <v>484</v>
      </c>
      <c r="EJ456" s="12"/>
      <c r="EL456" s="15"/>
      <c r="FR456" s="38" t="s">
        <v>487</v>
      </c>
      <c r="FS456" s="38" t="s">
        <v>808</v>
      </c>
      <c r="FT456" s="38">
        <v>26</v>
      </c>
    </row>
    <row r="457" spans="1:176" s="38" customFormat="1" x14ac:dyDescent="0.25">
      <c r="A457" s="38">
        <v>26</v>
      </c>
      <c r="B457" s="38" t="s">
        <v>469</v>
      </c>
      <c r="C457" s="38" t="s">
        <v>470</v>
      </c>
      <c r="D457" s="38">
        <v>2015</v>
      </c>
      <c r="E457" s="38">
        <v>2012</v>
      </c>
      <c r="F457" s="38" t="s">
        <v>336</v>
      </c>
      <c r="G457" s="38" t="s">
        <v>471</v>
      </c>
      <c r="H457" s="38">
        <f t="shared" si="61"/>
        <v>35.39</v>
      </c>
      <c r="I457" s="38">
        <f t="shared" si="62"/>
        <v>-78.03</v>
      </c>
      <c r="J457" s="38">
        <v>24.3</v>
      </c>
      <c r="P457" s="57">
        <v>1</v>
      </c>
      <c r="Q457" s="57"/>
      <c r="R457" s="57" t="s">
        <v>482</v>
      </c>
      <c r="S457" s="57" t="s">
        <v>1558</v>
      </c>
      <c r="T457" s="57" t="s">
        <v>1558</v>
      </c>
      <c r="U457" s="57" t="s">
        <v>1558</v>
      </c>
      <c r="V457" s="57" t="s">
        <v>1905</v>
      </c>
      <c r="Z457" s="38" t="s">
        <v>210</v>
      </c>
      <c r="AD457" s="38" t="s">
        <v>1487</v>
      </c>
      <c r="AE457" s="38" t="s">
        <v>281</v>
      </c>
      <c r="AF457" s="152" t="s">
        <v>666</v>
      </c>
      <c r="AG457" s="38" t="s">
        <v>160</v>
      </c>
      <c r="AH457" s="155" t="s">
        <v>160</v>
      </c>
      <c r="AL457" s="38" t="s">
        <v>473</v>
      </c>
      <c r="AM457" s="38" t="s">
        <v>473</v>
      </c>
      <c r="AN457" s="38" t="s">
        <v>212</v>
      </c>
      <c r="AO457" s="38">
        <v>0</v>
      </c>
      <c r="AP457" s="38">
        <v>0</v>
      </c>
      <c r="AQ457" s="38" t="s">
        <v>212</v>
      </c>
      <c r="AR457" s="38" t="s">
        <v>192</v>
      </c>
      <c r="AS457" s="38">
        <v>4</v>
      </c>
      <c r="AT457" s="38">
        <v>4</v>
      </c>
      <c r="AU457" s="38" t="s">
        <v>379</v>
      </c>
      <c r="AW457" s="38">
        <f>(8.7+2.5)*1000</f>
        <v>11200</v>
      </c>
      <c r="AX457" s="38">
        <f t="shared" ref="AX457" si="77">AW457/(288+71)</f>
        <v>31.197771587743734</v>
      </c>
      <c r="AY457" s="64" t="s">
        <v>485</v>
      </c>
      <c r="BM457" s="38">
        <v>2.0390000000000001</v>
      </c>
      <c r="BN457" s="38">
        <v>11.175000000000001</v>
      </c>
      <c r="BO457" s="38" t="s">
        <v>484</v>
      </c>
      <c r="EJ457" s="12"/>
      <c r="EL457" s="15"/>
      <c r="FR457" s="38" t="s">
        <v>487</v>
      </c>
      <c r="FS457" s="38" t="s">
        <v>808</v>
      </c>
      <c r="FT457" s="38">
        <v>26</v>
      </c>
    </row>
    <row r="458" spans="1:176" s="38" customFormat="1" x14ac:dyDescent="0.25">
      <c r="A458" s="38">
        <v>26</v>
      </c>
      <c r="B458" s="38" t="s">
        <v>469</v>
      </c>
      <c r="C458" s="38" t="s">
        <v>470</v>
      </c>
      <c r="D458" s="38">
        <v>2015</v>
      </c>
      <c r="E458" s="38">
        <v>2012</v>
      </c>
      <c r="F458" s="38" t="s">
        <v>336</v>
      </c>
      <c r="G458" s="38" t="s">
        <v>471</v>
      </c>
      <c r="H458" s="38">
        <f t="shared" si="61"/>
        <v>35.39</v>
      </c>
      <c r="I458" s="38">
        <f t="shared" si="62"/>
        <v>-78.03</v>
      </c>
      <c r="J458" s="38">
        <v>24.3</v>
      </c>
      <c r="P458" s="57">
        <v>1</v>
      </c>
      <c r="Q458" s="57"/>
      <c r="R458" s="57" t="s">
        <v>476</v>
      </c>
      <c r="S458" s="57" t="s">
        <v>1558</v>
      </c>
      <c r="T458" s="57" t="s">
        <v>1558</v>
      </c>
      <c r="U458" s="57" t="s">
        <v>1558</v>
      </c>
      <c r="V458" s="57" t="s">
        <v>1905</v>
      </c>
      <c r="Z458" s="38" t="s">
        <v>210</v>
      </c>
      <c r="AD458" s="38" t="s">
        <v>1487</v>
      </c>
      <c r="AE458" s="38" t="s">
        <v>474</v>
      </c>
      <c r="AF458" s="152" t="s">
        <v>666</v>
      </c>
      <c r="AG458" s="38" t="s">
        <v>160</v>
      </c>
      <c r="AH458" s="155" t="s">
        <v>160</v>
      </c>
      <c r="AL458" s="38" t="s">
        <v>483</v>
      </c>
      <c r="AM458" s="38" t="s">
        <v>483</v>
      </c>
      <c r="AN458" s="38" t="s">
        <v>212</v>
      </c>
      <c r="AO458" s="38">
        <v>0</v>
      </c>
      <c r="AP458" s="38">
        <v>0</v>
      </c>
      <c r="AQ458" s="38" t="s">
        <v>212</v>
      </c>
      <c r="AR458" s="38" t="s">
        <v>192</v>
      </c>
      <c r="AS458" s="38">
        <v>4</v>
      </c>
      <c r="AT458" s="38">
        <v>4</v>
      </c>
      <c r="AU458" s="38" t="s">
        <v>379</v>
      </c>
      <c r="AW458" s="38">
        <f>(6.5+1.7)*1000</f>
        <v>8200</v>
      </c>
      <c r="AX458" s="38">
        <f t="shared" ref="AX458" si="78">AW458/(205+53)</f>
        <v>31.782945736434108</v>
      </c>
      <c r="AY458" s="64" t="s">
        <v>486</v>
      </c>
      <c r="BM458" s="38">
        <v>9.5429999999999993</v>
      </c>
      <c r="BN458" s="38">
        <v>12.48</v>
      </c>
      <c r="BO458" s="38" t="s">
        <v>484</v>
      </c>
      <c r="EJ458" s="12"/>
      <c r="EL458" s="15"/>
      <c r="FR458" s="38" t="s">
        <v>487</v>
      </c>
      <c r="FS458" s="38" t="s">
        <v>808</v>
      </c>
      <c r="FT458" s="38">
        <v>26</v>
      </c>
    </row>
    <row r="459" spans="1:176" s="38" customFormat="1" x14ac:dyDescent="0.25">
      <c r="A459" s="38">
        <v>26</v>
      </c>
      <c r="B459" s="38" t="s">
        <v>469</v>
      </c>
      <c r="C459" s="38" t="s">
        <v>470</v>
      </c>
      <c r="D459" s="38">
        <v>2015</v>
      </c>
      <c r="E459" s="38">
        <v>2012</v>
      </c>
      <c r="F459" s="38" t="s">
        <v>336</v>
      </c>
      <c r="G459" s="38" t="s">
        <v>471</v>
      </c>
      <c r="H459" s="38">
        <f t="shared" si="61"/>
        <v>35.39</v>
      </c>
      <c r="I459" s="38">
        <f t="shared" si="62"/>
        <v>-78.03</v>
      </c>
      <c r="J459" s="38">
        <v>24.3</v>
      </c>
      <c r="P459" s="57">
        <v>1</v>
      </c>
      <c r="Q459" s="57"/>
      <c r="R459" s="57" t="s">
        <v>476</v>
      </c>
      <c r="S459" s="57" t="s">
        <v>1558</v>
      </c>
      <c r="T459" s="57" t="s">
        <v>1558</v>
      </c>
      <c r="U459" s="57" t="s">
        <v>1558</v>
      </c>
      <c r="V459" s="57" t="s">
        <v>1905</v>
      </c>
      <c r="Z459" s="38" t="s">
        <v>210</v>
      </c>
      <c r="AD459" s="38" t="s">
        <v>1487</v>
      </c>
      <c r="AE459" s="38" t="s">
        <v>475</v>
      </c>
      <c r="AF459" s="152" t="s">
        <v>666</v>
      </c>
      <c r="AG459" s="38" t="s">
        <v>160</v>
      </c>
      <c r="AH459" s="155" t="s">
        <v>160</v>
      </c>
      <c r="AL459" s="38" t="s">
        <v>483</v>
      </c>
      <c r="AM459" s="38" t="s">
        <v>483</v>
      </c>
      <c r="AN459" s="38" t="s">
        <v>212</v>
      </c>
      <c r="AO459" s="38">
        <v>0</v>
      </c>
      <c r="AP459" s="38">
        <v>0</v>
      </c>
      <c r="AQ459" s="38" t="s">
        <v>212</v>
      </c>
      <c r="AR459" s="38" t="s">
        <v>192</v>
      </c>
      <c r="AS459" s="38">
        <v>4</v>
      </c>
      <c r="AT459" s="38">
        <v>4</v>
      </c>
      <c r="AU459" s="38" t="s">
        <v>379</v>
      </c>
      <c r="AW459" s="38">
        <f>(9.6+2.8)*1000</f>
        <v>12399.999999999998</v>
      </c>
      <c r="AX459" s="38">
        <f t="shared" ref="AX459" si="79">AW459/(256+66)</f>
        <v>38.509316770186331</v>
      </c>
      <c r="AY459" s="64" t="s">
        <v>486</v>
      </c>
      <c r="BM459" s="38">
        <v>9.5429999999999993</v>
      </c>
      <c r="BN459" s="38">
        <v>11.42</v>
      </c>
      <c r="BO459" s="38" t="s">
        <v>484</v>
      </c>
      <c r="EJ459" s="12"/>
      <c r="EL459" s="15"/>
      <c r="FR459" s="38" t="s">
        <v>487</v>
      </c>
      <c r="FS459" s="38" t="s">
        <v>808</v>
      </c>
      <c r="FT459" s="38">
        <v>26</v>
      </c>
    </row>
    <row r="460" spans="1:176" s="38" customFormat="1" x14ac:dyDescent="0.25">
      <c r="A460" s="38">
        <v>26</v>
      </c>
      <c r="B460" s="38" t="s">
        <v>469</v>
      </c>
      <c r="C460" s="38" t="s">
        <v>470</v>
      </c>
      <c r="D460" s="38">
        <v>2015</v>
      </c>
      <c r="E460" s="38">
        <v>2012</v>
      </c>
      <c r="F460" s="38" t="s">
        <v>336</v>
      </c>
      <c r="G460" s="38" t="s">
        <v>471</v>
      </c>
      <c r="H460" s="38">
        <f t="shared" si="61"/>
        <v>35.39</v>
      </c>
      <c r="I460" s="38">
        <f t="shared" si="62"/>
        <v>-78.03</v>
      </c>
      <c r="J460" s="38">
        <v>24.3</v>
      </c>
      <c r="P460" s="57">
        <v>1</v>
      </c>
      <c r="Q460" s="57"/>
      <c r="R460" s="57" t="s">
        <v>476</v>
      </c>
      <c r="S460" s="57" t="s">
        <v>1558</v>
      </c>
      <c r="T460" s="57" t="s">
        <v>1558</v>
      </c>
      <c r="U460" s="57" t="s">
        <v>1558</v>
      </c>
      <c r="V460" s="57" t="s">
        <v>1905</v>
      </c>
      <c r="Z460" s="38" t="s">
        <v>210</v>
      </c>
      <c r="AD460" s="38" t="s">
        <v>1487</v>
      </c>
      <c r="AE460" s="38" t="s">
        <v>281</v>
      </c>
      <c r="AF460" s="152" t="s">
        <v>666</v>
      </c>
      <c r="AG460" s="38" t="s">
        <v>160</v>
      </c>
      <c r="AH460" s="155" t="s">
        <v>160</v>
      </c>
      <c r="AL460" s="38" t="s">
        <v>483</v>
      </c>
      <c r="AM460" s="38" t="s">
        <v>483</v>
      </c>
      <c r="AN460" s="38" t="s">
        <v>212</v>
      </c>
      <c r="AO460" s="38">
        <v>0</v>
      </c>
      <c r="AP460" s="38">
        <v>0</v>
      </c>
      <c r="AQ460" s="38" t="s">
        <v>212</v>
      </c>
      <c r="AR460" s="38" t="s">
        <v>192</v>
      </c>
      <c r="AS460" s="38">
        <v>4</v>
      </c>
      <c r="AT460" s="38">
        <v>4</v>
      </c>
      <c r="AU460" s="38" t="s">
        <v>379</v>
      </c>
      <c r="AW460" s="38">
        <f>(8.7+2.5)*1000</f>
        <v>11200</v>
      </c>
      <c r="AX460" s="38">
        <f t="shared" ref="AX460" si="80">AW460/(288+71)</f>
        <v>31.197771587743734</v>
      </c>
      <c r="AY460" s="64" t="s">
        <v>486</v>
      </c>
      <c r="BM460" s="38">
        <v>9.5429999999999993</v>
      </c>
      <c r="BN460" s="38">
        <v>19.899999999999999</v>
      </c>
      <c r="BO460" s="38" t="s">
        <v>484</v>
      </c>
      <c r="EJ460" s="12"/>
      <c r="EL460" s="15"/>
      <c r="FR460" s="38" t="s">
        <v>487</v>
      </c>
      <c r="FS460" s="38" t="s">
        <v>808</v>
      </c>
      <c r="FT460" s="38">
        <v>26</v>
      </c>
    </row>
    <row r="461" spans="1:176" s="38" customFormat="1" x14ac:dyDescent="0.25">
      <c r="A461" s="38">
        <v>26</v>
      </c>
      <c r="B461" s="38" t="s">
        <v>469</v>
      </c>
      <c r="C461" s="38" t="s">
        <v>470</v>
      </c>
      <c r="D461" s="38">
        <v>2015</v>
      </c>
      <c r="E461" s="38">
        <v>2012</v>
      </c>
      <c r="F461" s="38" t="s">
        <v>336</v>
      </c>
      <c r="G461" s="38" t="s">
        <v>471</v>
      </c>
      <c r="H461" s="38">
        <f t="shared" si="61"/>
        <v>35.39</v>
      </c>
      <c r="I461" s="38">
        <f t="shared" si="62"/>
        <v>-78.03</v>
      </c>
      <c r="J461" s="38">
        <v>24.3</v>
      </c>
      <c r="P461" s="57">
        <v>1</v>
      </c>
      <c r="Q461" s="57"/>
      <c r="R461" s="57" t="s">
        <v>477</v>
      </c>
      <c r="S461" s="57" t="s">
        <v>1558</v>
      </c>
      <c r="T461" s="57" t="s">
        <v>1558</v>
      </c>
      <c r="U461" s="57" t="s">
        <v>1558</v>
      </c>
      <c r="V461" s="57" t="s">
        <v>1905</v>
      </c>
      <c r="Z461" s="38" t="s">
        <v>210</v>
      </c>
      <c r="AD461" s="38" t="s">
        <v>1487</v>
      </c>
      <c r="AE461" s="38" t="s">
        <v>474</v>
      </c>
      <c r="AF461" s="152" t="s">
        <v>666</v>
      </c>
      <c r="AG461" s="38" t="s">
        <v>160</v>
      </c>
      <c r="AH461" s="155" t="s">
        <v>160</v>
      </c>
      <c r="AL461" s="38" t="s">
        <v>483</v>
      </c>
      <c r="AM461" s="38" t="s">
        <v>483</v>
      </c>
      <c r="AN461" s="38" t="s">
        <v>212</v>
      </c>
      <c r="AO461" s="38">
        <v>0</v>
      </c>
      <c r="AP461" s="38">
        <v>0</v>
      </c>
      <c r="AQ461" s="38" t="s">
        <v>212</v>
      </c>
      <c r="AR461" s="38" t="s">
        <v>192</v>
      </c>
      <c r="AS461" s="38">
        <v>4</v>
      </c>
      <c r="AT461" s="38">
        <v>4</v>
      </c>
      <c r="AU461" s="38" t="s">
        <v>379</v>
      </c>
      <c r="AW461" s="38">
        <f>(6.5+1.7)*1000</f>
        <v>8200</v>
      </c>
      <c r="AX461" s="38">
        <f t="shared" ref="AX461" si="81">AW461/(205+53)</f>
        <v>31.782945736434108</v>
      </c>
      <c r="AY461" s="64" t="s">
        <v>486</v>
      </c>
      <c r="BM461" s="38">
        <v>7.9119999999999999</v>
      </c>
      <c r="BN461" s="38">
        <v>13.458</v>
      </c>
      <c r="BO461" s="38" t="s">
        <v>484</v>
      </c>
      <c r="EJ461" s="12"/>
      <c r="EL461" s="15"/>
      <c r="FR461" s="38" t="s">
        <v>487</v>
      </c>
      <c r="FS461" s="38" t="s">
        <v>808</v>
      </c>
      <c r="FT461" s="38">
        <v>26</v>
      </c>
    </row>
    <row r="462" spans="1:176" s="38" customFormat="1" x14ac:dyDescent="0.25">
      <c r="A462" s="38">
        <v>26</v>
      </c>
      <c r="B462" s="38" t="s">
        <v>469</v>
      </c>
      <c r="C462" s="38" t="s">
        <v>470</v>
      </c>
      <c r="D462" s="38">
        <v>2015</v>
      </c>
      <c r="E462" s="38">
        <v>2012</v>
      </c>
      <c r="F462" s="38" t="s">
        <v>336</v>
      </c>
      <c r="G462" s="38" t="s">
        <v>471</v>
      </c>
      <c r="H462" s="38">
        <f t="shared" si="61"/>
        <v>35.39</v>
      </c>
      <c r="I462" s="38">
        <f t="shared" si="62"/>
        <v>-78.03</v>
      </c>
      <c r="J462" s="38">
        <v>24.3</v>
      </c>
      <c r="P462" s="57">
        <v>1</v>
      </c>
      <c r="Q462" s="57"/>
      <c r="R462" s="57" t="s">
        <v>477</v>
      </c>
      <c r="S462" s="57" t="s">
        <v>1558</v>
      </c>
      <c r="T462" s="57" t="s">
        <v>1558</v>
      </c>
      <c r="U462" s="57" t="s">
        <v>1558</v>
      </c>
      <c r="V462" s="57" t="s">
        <v>1905</v>
      </c>
      <c r="Z462" s="38" t="s">
        <v>210</v>
      </c>
      <c r="AD462" s="38" t="s">
        <v>1487</v>
      </c>
      <c r="AE462" s="38" t="s">
        <v>475</v>
      </c>
      <c r="AF462" s="152" t="s">
        <v>666</v>
      </c>
      <c r="AG462" s="38" t="s">
        <v>160</v>
      </c>
      <c r="AH462" s="155" t="s">
        <v>160</v>
      </c>
      <c r="AL462" s="38" t="s">
        <v>483</v>
      </c>
      <c r="AM462" s="38" t="s">
        <v>483</v>
      </c>
      <c r="AN462" s="38" t="s">
        <v>212</v>
      </c>
      <c r="AO462" s="38">
        <v>0</v>
      </c>
      <c r="AP462" s="38">
        <v>0</v>
      </c>
      <c r="AQ462" s="38" t="s">
        <v>212</v>
      </c>
      <c r="AR462" s="38" t="s">
        <v>192</v>
      </c>
      <c r="AS462" s="38">
        <v>4</v>
      </c>
      <c r="AT462" s="38">
        <v>4</v>
      </c>
      <c r="AU462" s="38" t="s">
        <v>379</v>
      </c>
      <c r="AW462" s="38">
        <f>(9.6+2.8)*1000</f>
        <v>12399.999999999998</v>
      </c>
      <c r="AX462" s="38">
        <f t="shared" ref="AX462" si="82">AW462/(256+66)</f>
        <v>38.509316770186331</v>
      </c>
      <c r="AY462" s="64" t="s">
        <v>486</v>
      </c>
      <c r="BM462" s="38">
        <v>7.9119999999999999</v>
      </c>
      <c r="BN462" s="38">
        <v>11.09</v>
      </c>
      <c r="BO462" s="38" t="s">
        <v>484</v>
      </c>
      <c r="EJ462" s="12"/>
      <c r="EL462" s="15"/>
      <c r="FR462" s="38" t="s">
        <v>487</v>
      </c>
      <c r="FS462" s="38" t="s">
        <v>808</v>
      </c>
      <c r="FT462" s="38">
        <v>26</v>
      </c>
    </row>
    <row r="463" spans="1:176" s="38" customFormat="1" x14ac:dyDescent="0.25">
      <c r="A463" s="38">
        <v>26</v>
      </c>
      <c r="B463" s="38" t="s">
        <v>469</v>
      </c>
      <c r="C463" s="38" t="s">
        <v>470</v>
      </c>
      <c r="D463" s="38">
        <v>2015</v>
      </c>
      <c r="E463" s="38">
        <v>2012</v>
      </c>
      <c r="F463" s="38" t="s">
        <v>336</v>
      </c>
      <c r="G463" s="38" t="s">
        <v>471</v>
      </c>
      <c r="H463" s="38">
        <f t="shared" si="61"/>
        <v>35.39</v>
      </c>
      <c r="I463" s="38">
        <f t="shared" si="62"/>
        <v>-78.03</v>
      </c>
      <c r="J463" s="38">
        <v>24.3</v>
      </c>
      <c r="P463" s="57">
        <v>1</v>
      </c>
      <c r="Q463" s="57"/>
      <c r="R463" s="57" t="s">
        <v>477</v>
      </c>
      <c r="S463" s="57" t="s">
        <v>1558</v>
      </c>
      <c r="T463" s="57" t="s">
        <v>1558</v>
      </c>
      <c r="U463" s="57" t="s">
        <v>1558</v>
      </c>
      <c r="V463" s="57" t="s">
        <v>1905</v>
      </c>
      <c r="Z463" s="38" t="s">
        <v>210</v>
      </c>
      <c r="AD463" s="38" t="s">
        <v>1487</v>
      </c>
      <c r="AE463" s="38" t="s">
        <v>281</v>
      </c>
      <c r="AF463" s="152" t="s">
        <v>666</v>
      </c>
      <c r="AG463" s="38" t="s">
        <v>160</v>
      </c>
      <c r="AH463" s="155" t="s">
        <v>160</v>
      </c>
      <c r="AL463" s="38" t="s">
        <v>483</v>
      </c>
      <c r="AM463" s="38" t="s">
        <v>483</v>
      </c>
      <c r="AN463" s="38" t="s">
        <v>212</v>
      </c>
      <c r="AO463" s="38">
        <v>0</v>
      </c>
      <c r="AP463" s="38">
        <v>0</v>
      </c>
      <c r="AQ463" s="38" t="s">
        <v>212</v>
      </c>
      <c r="AR463" s="38" t="s">
        <v>192</v>
      </c>
      <c r="AS463" s="38">
        <v>4</v>
      </c>
      <c r="AT463" s="38">
        <v>4</v>
      </c>
      <c r="AU463" s="38" t="s">
        <v>379</v>
      </c>
      <c r="AW463" s="38">
        <f>(8.7+2.5)*1000</f>
        <v>11200</v>
      </c>
      <c r="AX463" s="38">
        <f t="shared" ref="AX463" si="83">AW463/(288+71)</f>
        <v>31.197771587743734</v>
      </c>
      <c r="AY463" s="64" t="s">
        <v>486</v>
      </c>
      <c r="BM463" s="38">
        <v>7.9119999999999999</v>
      </c>
      <c r="BN463" s="38">
        <v>17.7</v>
      </c>
      <c r="BO463" s="38" t="s">
        <v>484</v>
      </c>
      <c r="EJ463" s="12"/>
      <c r="EL463" s="15"/>
      <c r="FR463" s="38" t="s">
        <v>487</v>
      </c>
      <c r="FS463" s="38" t="s">
        <v>808</v>
      </c>
      <c r="FT463" s="38">
        <v>26</v>
      </c>
    </row>
    <row r="464" spans="1:176" s="38" customFormat="1" x14ac:dyDescent="0.25">
      <c r="A464" s="38">
        <v>26</v>
      </c>
      <c r="B464" s="38" t="s">
        <v>469</v>
      </c>
      <c r="C464" s="38" t="s">
        <v>470</v>
      </c>
      <c r="D464" s="38">
        <v>2015</v>
      </c>
      <c r="E464" s="38">
        <v>2012</v>
      </c>
      <c r="F464" s="38" t="s">
        <v>336</v>
      </c>
      <c r="G464" s="38" t="s">
        <v>471</v>
      </c>
      <c r="H464" s="38">
        <f t="shared" si="61"/>
        <v>35.39</v>
      </c>
      <c r="I464" s="38">
        <f t="shared" si="62"/>
        <v>-78.03</v>
      </c>
      <c r="J464" s="38">
        <v>24.3</v>
      </c>
      <c r="P464" s="57">
        <v>1</v>
      </c>
      <c r="Q464" s="57"/>
      <c r="R464" s="57" t="s">
        <v>478</v>
      </c>
      <c r="S464" s="57" t="s">
        <v>1558</v>
      </c>
      <c r="T464" s="57" t="s">
        <v>1558</v>
      </c>
      <c r="U464" s="57" t="s">
        <v>1558</v>
      </c>
      <c r="V464" s="57" t="s">
        <v>1905</v>
      </c>
      <c r="Z464" s="38" t="s">
        <v>210</v>
      </c>
      <c r="AD464" s="38" t="s">
        <v>1487</v>
      </c>
      <c r="AE464" s="38" t="s">
        <v>474</v>
      </c>
      <c r="AF464" s="152" t="s">
        <v>666</v>
      </c>
      <c r="AG464" s="38" t="s">
        <v>160</v>
      </c>
      <c r="AH464" s="155" t="s">
        <v>160</v>
      </c>
      <c r="AL464" s="38" t="s">
        <v>483</v>
      </c>
      <c r="AM464" s="38" t="s">
        <v>483</v>
      </c>
      <c r="AN464" s="38" t="s">
        <v>212</v>
      </c>
      <c r="AO464" s="38">
        <v>0</v>
      </c>
      <c r="AP464" s="38">
        <v>0</v>
      </c>
      <c r="AQ464" s="38" t="s">
        <v>212</v>
      </c>
      <c r="AR464" s="38" t="s">
        <v>192</v>
      </c>
      <c r="AS464" s="38">
        <v>4</v>
      </c>
      <c r="AT464" s="38">
        <v>4</v>
      </c>
      <c r="AU464" s="38" t="s">
        <v>379</v>
      </c>
      <c r="AW464" s="38">
        <f>(6.5+1.7)*1000</f>
        <v>8200</v>
      </c>
      <c r="AX464" s="38">
        <f t="shared" ref="AX464" si="84">AW464/(205+53)</f>
        <v>31.782945736434108</v>
      </c>
      <c r="AY464" s="64" t="s">
        <v>486</v>
      </c>
      <c r="BM464" s="38">
        <v>7.4219999999999997</v>
      </c>
      <c r="BN464" s="38">
        <v>16.312999999999999</v>
      </c>
      <c r="BO464" s="38" t="s">
        <v>484</v>
      </c>
      <c r="EJ464" s="12"/>
      <c r="EL464" s="15"/>
      <c r="FR464" s="38" t="s">
        <v>487</v>
      </c>
      <c r="FS464" s="38" t="s">
        <v>808</v>
      </c>
      <c r="FT464" s="38">
        <v>26</v>
      </c>
    </row>
    <row r="465" spans="1:176" s="38" customFormat="1" x14ac:dyDescent="0.25">
      <c r="A465" s="38">
        <v>26</v>
      </c>
      <c r="B465" s="38" t="s">
        <v>469</v>
      </c>
      <c r="C465" s="38" t="s">
        <v>470</v>
      </c>
      <c r="D465" s="38">
        <v>2015</v>
      </c>
      <c r="E465" s="38">
        <v>2012</v>
      </c>
      <c r="F465" s="38" t="s">
        <v>336</v>
      </c>
      <c r="G465" s="38" t="s">
        <v>471</v>
      </c>
      <c r="H465" s="38">
        <f t="shared" si="61"/>
        <v>35.39</v>
      </c>
      <c r="I465" s="38">
        <f t="shared" si="62"/>
        <v>-78.03</v>
      </c>
      <c r="J465" s="38">
        <v>24.3</v>
      </c>
      <c r="P465" s="57">
        <v>1</v>
      </c>
      <c r="Q465" s="57"/>
      <c r="R465" s="57" t="s">
        <v>478</v>
      </c>
      <c r="S465" s="57" t="s">
        <v>1558</v>
      </c>
      <c r="T465" s="57" t="s">
        <v>1558</v>
      </c>
      <c r="U465" s="57" t="s">
        <v>1558</v>
      </c>
      <c r="V465" s="57" t="s">
        <v>1905</v>
      </c>
      <c r="Z465" s="38" t="s">
        <v>210</v>
      </c>
      <c r="AD465" s="38" t="s">
        <v>1487</v>
      </c>
      <c r="AE465" s="38" t="s">
        <v>475</v>
      </c>
      <c r="AF465" s="152" t="s">
        <v>666</v>
      </c>
      <c r="AG465" s="38" t="s">
        <v>160</v>
      </c>
      <c r="AH465" s="155" t="s">
        <v>160</v>
      </c>
      <c r="AL465" s="38" t="s">
        <v>483</v>
      </c>
      <c r="AM465" s="38" t="s">
        <v>483</v>
      </c>
      <c r="AN465" s="38" t="s">
        <v>212</v>
      </c>
      <c r="AO465" s="38">
        <v>0</v>
      </c>
      <c r="AP465" s="38">
        <v>0</v>
      </c>
      <c r="AQ465" s="38" t="s">
        <v>212</v>
      </c>
      <c r="AR465" s="38" t="s">
        <v>192</v>
      </c>
      <c r="AS465" s="38">
        <v>4</v>
      </c>
      <c r="AT465" s="38">
        <v>4</v>
      </c>
      <c r="AU465" s="38" t="s">
        <v>379</v>
      </c>
      <c r="AW465" s="38">
        <f>(9.6+2.8)*1000</f>
        <v>12399.999999999998</v>
      </c>
      <c r="AX465" s="38">
        <f t="shared" ref="AX465" si="85">AW465/(256+66)</f>
        <v>38.509316770186331</v>
      </c>
      <c r="AY465" s="64" t="s">
        <v>486</v>
      </c>
      <c r="BM465" s="38">
        <v>7.4219999999999997</v>
      </c>
      <c r="BN465" s="38">
        <v>14.927</v>
      </c>
      <c r="BO465" s="38" t="s">
        <v>484</v>
      </c>
      <c r="EJ465" s="12"/>
      <c r="EL465" s="15"/>
      <c r="FR465" s="38" t="s">
        <v>487</v>
      </c>
      <c r="FS465" s="38" t="s">
        <v>808</v>
      </c>
      <c r="FT465" s="38">
        <v>26</v>
      </c>
    </row>
    <row r="466" spans="1:176" s="38" customFormat="1" x14ac:dyDescent="0.25">
      <c r="A466" s="38">
        <v>26</v>
      </c>
      <c r="B466" s="38" t="s">
        <v>469</v>
      </c>
      <c r="C466" s="38" t="s">
        <v>470</v>
      </c>
      <c r="D466" s="38">
        <v>2015</v>
      </c>
      <c r="E466" s="38">
        <v>2012</v>
      </c>
      <c r="F466" s="38" t="s">
        <v>336</v>
      </c>
      <c r="G466" s="38" t="s">
        <v>471</v>
      </c>
      <c r="H466" s="38">
        <f t="shared" si="61"/>
        <v>35.39</v>
      </c>
      <c r="I466" s="38">
        <f t="shared" si="62"/>
        <v>-78.03</v>
      </c>
      <c r="J466" s="38">
        <v>24.3</v>
      </c>
      <c r="P466" s="57">
        <v>1</v>
      </c>
      <c r="Q466" s="57"/>
      <c r="R466" s="57" t="s">
        <v>478</v>
      </c>
      <c r="S466" s="57" t="s">
        <v>1558</v>
      </c>
      <c r="T466" s="57" t="s">
        <v>1558</v>
      </c>
      <c r="U466" s="57" t="s">
        <v>1558</v>
      </c>
      <c r="V466" s="57" t="s">
        <v>1905</v>
      </c>
      <c r="Z466" s="38" t="s">
        <v>210</v>
      </c>
      <c r="AD466" s="38" t="s">
        <v>1487</v>
      </c>
      <c r="AE466" s="38" t="s">
        <v>281</v>
      </c>
      <c r="AF466" s="152" t="s">
        <v>666</v>
      </c>
      <c r="AG466" s="38" t="s">
        <v>160</v>
      </c>
      <c r="AH466" s="155" t="s">
        <v>160</v>
      </c>
      <c r="AL466" s="38" t="s">
        <v>483</v>
      </c>
      <c r="AM466" s="38" t="s">
        <v>483</v>
      </c>
      <c r="AN466" s="38" t="s">
        <v>212</v>
      </c>
      <c r="AO466" s="38">
        <v>0</v>
      </c>
      <c r="AP466" s="38">
        <v>0</v>
      </c>
      <c r="AQ466" s="38" t="s">
        <v>212</v>
      </c>
      <c r="AR466" s="38" t="s">
        <v>192</v>
      </c>
      <c r="AS466" s="38">
        <v>4</v>
      </c>
      <c r="AT466" s="38">
        <v>4</v>
      </c>
      <c r="AU466" s="38" t="s">
        <v>379</v>
      </c>
      <c r="AW466" s="38">
        <f>(8.7+2.5)*1000</f>
        <v>11200</v>
      </c>
      <c r="AX466" s="38">
        <f t="shared" ref="AX466" si="86">AW466/(288+71)</f>
        <v>31.197771587743734</v>
      </c>
      <c r="AY466" s="64" t="s">
        <v>486</v>
      </c>
      <c r="BM466" s="38">
        <v>7.4219999999999997</v>
      </c>
      <c r="BN466" s="38">
        <v>23.33</v>
      </c>
      <c r="BO466" s="38" t="s">
        <v>484</v>
      </c>
      <c r="EJ466" s="12"/>
      <c r="EL466" s="15"/>
      <c r="FR466" s="38" t="s">
        <v>487</v>
      </c>
      <c r="FS466" s="38" t="s">
        <v>808</v>
      </c>
      <c r="FT466" s="38">
        <v>26</v>
      </c>
    </row>
    <row r="467" spans="1:176" s="38" customFormat="1" x14ac:dyDescent="0.25">
      <c r="A467" s="38">
        <v>26</v>
      </c>
      <c r="B467" s="38" t="s">
        <v>469</v>
      </c>
      <c r="C467" s="38" t="s">
        <v>470</v>
      </c>
      <c r="D467" s="38">
        <v>2015</v>
      </c>
      <c r="E467" s="38">
        <v>2012</v>
      </c>
      <c r="F467" s="38" t="s">
        <v>336</v>
      </c>
      <c r="G467" s="38" t="s">
        <v>471</v>
      </c>
      <c r="H467" s="38">
        <f t="shared" si="61"/>
        <v>35.39</v>
      </c>
      <c r="I467" s="38">
        <f t="shared" si="62"/>
        <v>-78.03</v>
      </c>
      <c r="J467" s="38">
        <v>24.3</v>
      </c>
      <c r="P467" s="57">
        <v>1</v>
      </c>
      <c r="Q467" s="57"/>
      <c r="R467" s="57" t="s">
        <v>479</v>
      </c>
      <c r="S467" s="57" t="s">
        <v>1558</v>
      </c>
      <c r="T467" s="57" t="s">
        <v>1558</v>
      </c>
      <c r="U467" s="57" t="s">
        <v>1558</v>
      </c>
      <c r="V467" s="57" t="s">
        <v>1905</v>
      </c>
      <c r="Z467" s="38" t="s">
        <v>210</v>
      </c>
      <c r="AD467" s="38" t="s">
        <v>1487</v>
      </c>
      <c r="AE467" s="38" t="s">
        <v>474</v>
      </c>
      <c r="AF467" s="152" t="s">
        <v>666</v>
      </c>
      <c r="AG467" s="38" t="s">
        <v>160</v>
      </c>
      <c r="AH467" s="155" t="s">
        <v>160</v>
      </c>
      <c r="AL467" s="38" t="s">
        <v>483</v>
      </c>
      <c r="AM467" s="38" t="s">
        <v>483</v>
      </c>
      <c r="AN467" s="38" t="s">
        <v>212</v>
      </c>
      <c r="AO467" s="38">
        <v>0</v>
      </c>
      <c r="AP467" s="38">
        <v>0</v>
      </c>
      <c r="AQ467" s="38" t="s">
        <v>212</v>
      </c>
      <c r="AR467" s="38" t="s">
        <v>192</v>
      </c>
      <c r="AS467" s="38">
        <v>4</v>
      </c>
      <c r="AT467" s="38">
        <v>4</v>
      </c>
      <c r="AU467" s="38" t="s">
        <v>379</v>
      </c>
      <c r="AW467" s="38">
        <f>(6.5+1.7)*1000</f>
        <v>8200</v>
      </c>
      <c r="AX467" s="38">
        <f t="shared" ref="AX467" si="87">AW467/(205+53)</f>
        <v>31.782945736434108</v>
      </c>
      <c r="AY467" s="64" t="s">
        <v>486</v>
      </c>
      <c r="BM467" s="38">
        <v>5.5469999999999997</v>
      </c>
      <c r="BN467" s="38">
        <v>6.77</v>
      </c>
      <c r="BO467" s="38" t="s">
        <v>484</v>
      </c>
      <c r="EJ467" s="12"/>
      <c r="EL467" s="15"/>
      <c r="FR467" s="38" t="s">
        <v>487</v>
      </c>
      <c r="FS467" s="38" t="s">
        <v>808</v>
      </c>
      <c r="FT467" s="38">
        <v>26</v>
      </c>
    </row>
    <row r="468" spans="1:176" s="38" customFormat="1" x14ac:dyDescent="0.25">
      <c r="A468" s="38">
        <v>26</v>
      </c>
      <c r="B468" s="38" t="s">
        <v>469</v>
      </c>
      <c r="C468" s="38" t="s">
        <v>470</v>
      </c>
      <c r="D468" s="38">
        <v>2015</v>
      </c>
      <c r="E468" s="38">
        <v>2012</v>
      </c>
      <c r="F468" s="38" t="s">
        <v>336</v>
      </c>
      <c r="G468" s="38" t="s">
        <v>471</v>
      </c>
      <c r="H468" s="38">
        <f t="shared" si="61"/>
        <v>35.39</v>
      </c>
      <c r="I468" s="38">
        <f t="shared" si="62"/>
        <v>-78.03</v>
      </c>
      <c r="J468" s="38">
        <v>24.3</v>
      </c>
      <c r="P468" s="57">
        <v>1</v>
      </c>
      <c r="Q468" s="57"/>
      <c r="R468" s="57" t="s">
        <v>479</v>
      </c>
      <c r="S468" s="57" t="s">
        <v>1558</v>
      </c>
      <c r="T468" s="57" t="s">
        <v>1558</v>
      </c>
      <c r="U468" s="57" t="s">
        <v>1558</v>
      </c>
      <c r="V468" s="57" t="s">
        <v>1905</v>
      </c>
      <c r="Z468" s="38" t="s">
        <v>210</v>
      </c>
      <c r="AD468" s="38" t="s">
        <v>1487</v>
      </c>
      <c r="AE468" s="38" t="s">
        <v>475</v>
      </c>
      <c r="AF468" s="152" t="s">
        <v>666</v>
      </c>
      <c r="AG468" s="38" t="s">
        <v>160</v>
      </c>
      <c r="AH468" s="155" t="s">
        <v>160</v>
      </c>
      <c r="AL468" s="38" t="s">
        <v>483</v>
      </c>
      <c r="AM468" s="38" t="s">
        <v>483</v>
      </c>
      <c r="AN468" s="38" t="s">
        <v>212</v>
      </c>
      <c r="AO468" s="38">
        <v>0</v>
      </c>
      <c r="AP468" s="38">
        <v>0</v>
      </c>
      <c r="AQ468" s="38" t="s">
        <v>212</v>
      </c>
      <c r="AR468" s="38" t="s">
        <v>192</v>
      </c>
      <c r="AS468" s="38">
        <v>4</v>
      </c>
      <c r="AT468" s="38">
        <v>4</v>
      </c>
      <c r="AU468" s="38" t="s">
        <v>379</v>
      </c>
      <c r="AW468" s="38">
        <f>(9.6+2.8)*1000</f>
        <v>12399.999999999998</v>
      </c>
      <c r="AX468" s="38">
        <f t="shared" ref="AX468" si="88">AW468/(256+66)</f>
        <v>38.509316770186331</v>
      </c>
      <c r="AY468" s="64" t="s">
        <v>486</v>
      </c>
      <c r="BM468" s="38">
        <v>5.5469999999999997</v>
      </c>
      <c r="BN468" s="38">
        <v>6.77</v>
      </c>
      <c r="BO468" s="38" t="s">
        <v>484</v>
      </c>
      <c r="EJ468" s="12"/>
      <c r="EL468" s="15"/>
      <c r="FR468" s="38" t="s">
        <v>487</v>
      </c>
      <c r="FS468" s="38" t="s">
        <v>808</v>
      </c>
      <c r="FT468" s="38">
        <v>26</v>
      </c>
    </row>
    <row r="469" spans="1:176" s="38" customFormat="1" x14ac:dyDescent="0.25">
      <c r="A469" s="38">
        <v>26</v>
      </c>
      <c r="B469" s="38" t="s">
        <v>469</v>
      </c>
      <c r="C469" s="38" t="s">
        <v>470</v>
      </c>
      <c r="D469" s="38">
        <v>2015</v>
      </c>
      <c r="E469" s="38">
        <v>2012</v>
      </c>
      <c r="F469" s="38" t="s">
        <v>336</v>
      </c>
      <c r="G469" s="38" t="s">
        <v>471</v>
      </c>
      <c r="H469" s="38">
        <f t="shared" si="61"/>
        <v>35.39</v>
      </c>
      <c r="I469" s="38">
        <f t="shared" si="62"/>
        <v>-78.03</v>
      </c>
      <c r="J469" s="38">
        <v>24.3</v>
      </c>
      <c r="P469" s="57">
        <v>1</v>
      </c>
      <c r="Q469" s="57"/>
      <c r="R469" s="57" t="s">
        <v>479</v>
      </c>
      <c r="S469" s="57" t="s">
        <v>1558</v>
      </c>
      <c r="T469" s="57" t="s">
        <v>1558</v>
      </c>
      <c r="U469" s="57" t="s">
        <v>1558</v>
      </c>
      <c r="V469" s="57" t="s">
        <v>1905</v>
      </c>
      <c r="Z469" s="38" t="s">
        <v>210</v>
      </c>
      <c r="AD469" s="38" t="s">
        <v>1487</v>
      </c>
      <c r="AE469" s="38" t="s">
        <v>281</v>
      </c>
      <c r="AF469" s="152" t="s">
        <v>666</v>
      </c>
      <c r="AG469" s="38" t="s">
        <v>160</v>
      </c>
      <c r="AH469" s="155" t="s">
        <v>160</v>
      </c>
      <c r="AL469" s="38" t="s">
        <v>483</v>
      </c>
      <c r="AM469" s="38" t="s">
        <v>483</v>
      </c>
      <c r="AN469" s="38" t="s">
        <v>212</v>
      </c>
      <c r="AO469" s="38">
        <v>0</v>
      </c>
      <c r="AP469" s="38">
        <v>0</v>
      </c>
      <c r="AQ469" s="38" t="s">
        <v>212</v>
      </c>
      <c r="AR469" s="38" t="s">
        <v>192</v>
      </c>
      <c r="AS469" s="38">
        <v>4</v>
      </c>
      <c r="AT469" s="38">
        <v>4</v>
      </c>
      <c r="AU469" s="38" t="s">
        <v>379</v>
      </c>
      <c r="AW469" s="38">
        <f>(8.7+2.5)*1000</f>
        <v>11200</v>
      </c>
      <c r="AX469" s="38">
        <f t="shared" ref="AX469" si="89">AW469/(288+71)</f>
        <v>31.197771587743734</v>
      </c>
      <c r="AY469" s="64" t="s">
        <v>486</v>
      </c>
      <c r="BM469" s="38">
        <v>5.5469999999999997</v>
      </c>
      <c r="BN469" s="38">
        <v>6.77</v>
      </c>
      <c r="BO469" s="38" t="s">
        <v>484</v>
      </c>
      <c r="EJ469" s="12"/>
      <c r="EL469" s="15"/>
      <c r="FR469" s="38" t="s">
        <v>487</v>
      </c>
      <c r="FS469" s="38" t="s">
        <v>808</v>
      </c>
      <c r="FT469" s="38">
        <v>26</v>
      </c>
    </row>
    <row r="470" spans="1:176" s="38" customFormat="1" x14ac:dyDescent="0.25">
      <c r="A470" s="38">
        <v>26</v>
      </c>
      <c r="B470" s="38" t="s">
        <v>469</v>
      </c>
      <c r="C470" s="38" t="s">
        <v>470</v>
      </c>
      <c r="D470" s="38">
        <v>2015</v>
      </c>
      <c r="E470" s="38">
        <v>2012</v>
      </c>
      <c r="F470" s="38" t="s">
        <v>336</v>
      </c>
      <c r="G470" s="38" t="s">
        <v>471</v>
      </c>
      <c r="H470" s="38">
        <f t="shared" si="61"/>
        <v>35.39</v>
      </c>
      <c r="I470" s="38">
        <f t="shared" si="62"/>
        <v>-78.03</v>
      </c>
      <c r="J470" s="38">
        <v>24.3</v>
      </c>
      <c r="P470" s="57">
        <v>1</v>
      </c>
      <c r="Q470" s="57"/>
      <c r="R470" s="57" t="s">
        <v>480</v>
      </c>
      <c r="S470" s="57" t="s">
        <v>1558</v>
      </c>
      <c r="T470" s="57" t="s">
        <v>1558</v>
      </c>
      <c r="U470" s="57" t="s">
        <v>1558</v>
      </c>
      <c r="V470" s="57" t="s">
        <v>1905</v>
      </c>
      <c r="Z470" s="38" t="s">
        <v>210</v>
      </c>
      <c r="AD470" s="38" t="s">
        <v>1487</v>
      </c>
      <c r="AE470" s="38" t="s">
        <v>474</v>
      </c>
      <c r="AF470" s="152" t="s">
        <v>666</v>
      </c>
      <c r="AG470" s="38" t="s">
        <v>160</v>
      </c>
      <c r="AH470" s="155" t="s">
        <v>160</v>
      </c>
      <c r="AL470" s="38" t="s">
        <v>483</v>
      </c>
      <c r="AM470" s="38" t="s">
        <v>483</v>
      </c>
      <c r="AN470" s="38" t="s">
        <v>212</v>
      </c>
      <c r="AO470" s="38">
        <v>0</v>
      </c>
      <c r="AP470" s="38">
        <v>0</v>
      </c>
      <c r="AQ470" s="38" t="s">
        <v>212</v>
      </c>
      <c r="AR470" s="38" t="s">
        <v>192</v>
      </c>
      <c r="AS470" s="38">
        <v>4</v>
      </c>
      <c r="AT470" s="38">
        <v>4</v>
      </c>
      <c r="AU470" s="38" t="s">
        <v>379</v>
      </c>
      <c r="AW470" s="38">
        <f>(6.5+1.7)*1000</f>
        <v>8200</v>
      </c>
      <c r="AX470" s="38">
        <f t="shared" ref="AX470" si="90">AW470/(205+53)</f>
        <v>31.782945736434108</v>
      </c>
      <c r="AY470" s="64" t="s">
        <v>486</v>
      </c>
      <c r="BM470" s="38">
        <v>7.7489999999999997</v>
      </c>
      <c r="BN470" s="38">
        <v>5.71</v>
      </c>
      <c r="BO470" s="38" t="s">
        <v>484</v>
      </c>
      <c r="EJ470" s="12"/>
      <c r="EL470" s="15"/>
      <c r="FR470" s="38" t="s">
        <v>487</v>
      </c>
      <c r="FS470" s="38" t="s">
        <v>808</v>
      </c>
      <c r="FT470" s="38">
        <v>26</v>
      </c>
    </row>
    <row r="471" spans="1:176" s="38" customFormat="1" x14ac:dyDescent="0.25">
      <c r="A471" s="38">
        <v>26</v>
      </c>
      <c r="B471" s="38" t="s">
        <v>469</v>
      </c>
      <c r="C471" s="38" t="s">
        <v>470</v>
      </c>
      <c r="D471" s="38">
        <v>2015</v>
      </c>
      <c r="E471" s="38">
        <v>2012</v>
      </c>
      <c r="F471" s="38" t="s">
        <v>336</v>
      </c>
      <c r="G471" s="38" t="s">
        <v>471</v>
      </c>
      <c r="H471" s="38">
        <f t="shared" si="61"/>
        <v>35.39</v>
      </c>
      <c r="I471" s="38">
        <f t="shared" si="62"/>
        <v>-78.03</v>
      </c>
      <c r="J471" s="38">
        <v>24.3</v>
      </c>
      <c r="P471" s="57">
        <v>1</v>
      </c>
      <c r="Q471" s="57"/>
      <c r="R471" s="57" t="s">
        <v>480</v>
      </c>
      <c r="S471" s="57" t="s">
        <v>1558</v>
      </c>
      <c r="T471" s="57" t="s">
        <v>1558</v>
      </c>
      <c r="U471" s="57" t="s">
        <v>1558</v>
      </c>
      <c r="V471" s="57" t="s">
        <v>1905</v>
      </c>
      <c r="Z471" s="38" t="s">
        <v>210</v>
      </c>
      <c r="AD471" s="38" t="s">
        <v>1487</v>
      </c>
      <c r="AE471" s="38" t="s">
        <v>475</v>
      </c>
      <c r="AF471" s="152" t="s">
        <v>666</v>
      </c>
      <c r="AG471" s="38" t="s">
        <v>160</v>
      </c>
      <c r="AH471" s="155" t="s">
        <v>160</v>
      </c>
      <c r="AL471" s="38" t="s">
        <v>483</v>
      </c>
      <c r="AM471" s="38" t="s">
        <v>483</v>
      </c>
      <c r="AN471" s="38" t="s">
        <v>212</v>
      </c>
      <c r="AO471" s="38">
        <v>0</v>
      </c>
      <c r="AP471" s="38">
        <v>0</v>
      </c>
      <c r="AQ471" s="38" t="s">
        <v>212</v>
      </c>
      <c r="AR471" s="38" t="s">
        <v>192</v>
      </c>
      <c r="AS471" s="38">
        <v>4</v>
      </c>
      <c r="AT471" s="38">
        <v>4</v>
      </c>
      <c r="AU471" s="38" t="s">
        <v>379</v>
      </c>
      <c r="AW471" s="38">
        <f>(9.6+2.8)*1000</f>
        <v>12399.999999999998</v>
      </c>
      <c r="AX471" s="38">
        <f t="shared" ref="AX471" si="91">AW471/(256+66)</f>
        <v>38.509316770186331</v>
      </c>
      <c r="AY471" s="64" t="s">
        <v>486</v>
      </c>
      <c r="BM471" s="38">
        <v>7.7489999999999997</v>
      </c>
      <c r="BN471" s="38">
        <v>4.4000000000000004</v>
      </c>
      <c r="BO471" s="38" t="s">
        <v>484</v>
      </c>
      <c r="EJ471" s="12"/>
      <c r="EL471" s="15"/>
      <c r="FR471" s="38" t="s">
        <v>487</v>
      </c>
      <c r="FS471" s="38" t="s">
        <v>808</v>
      </c>
      <c r="FT471" s="38">
        <v>26</v>
      </c>
    </row>
    <row r="472" spans="1:176" s="38" customFormat="1" x14ac:dyDescent="0.25">
      <c r="A472" s="38">
        <v>26</v>
      </c>
      <c r="B472" s="38" t="s">
        <v>469</v>
      </c>
      <c r="C472" s="38" t="s">
        <v>470</v>
      </c>
      <c r="D472" s="38">
        <v>2015</v>
      </c>
      <c r="E472" s="38">
        <v>2012</v>
      </c>
      <c r="F472" s="38" t="s">
        <v>336</v>
      </c>
      <c r="G472" s="38" t="s">
        <v>471</v>
      </c>
      <c r="H472" s="38">
        <f t="shared" si="61"/>
        <v>35.39</v>
      </c>
      <c r="I472" s="38">
        <f t="shared" si="62"/>
        <v>-78.03</v>
      </c>
      <c r="J472" s="38">
        <v>24.3</v>
      </c>
      <c r="P472" s="57">
        <v>1</v>
      </c>
      <c r="Q472" s="57"/>
      <c r="R472" s="57" t="s">
        <v>480</v>
      </c>
      <c r="S472" s="57" t="s">
        <v>1558</v>
      </c>
      <c r="T472" s="57" t="s">
        <v>1558</v>
      </c>
      <c r="U472" s="57" t="s">
        <v>1558</v>
      </c>
      <c r="V472" s="57" t="s">
        <v>1905</v>
      </c>
      <c r="Z472" s="38" t="s">
        <v>210</v>
      </c>
      <c r="AD472" s="38" t="s">
        <v>1487</v>
      </c>
      <c r="AE472" s="38" t="s">
        <v>281</v>
      </c>
      <c r="AF472" s="152" t="s">
        <v>666</v>
      </c>
      <c r="AG472" s="38" t="s">
        <v>160</v>
      </c>
      <c r="AH472" s="155" t="s">
        <v>160</v>
      </c>
      <c r="AL472" s="38" t="s">
        <v>483</v>
      </c>
      <c r="AM472" s="38" t="s">
        <v>483</v>
      </c>
      <c r="AN472" s="38" t="s">
        <v>212</v>
      </c>
      <c r="AO472" s="38">
        <v>0</v>
      </c>
      <c r="AP472" s="38">
        <v>0</v>
      </c>
      <c r="AQ472" s="38" t="s">
        <v>212</v>
      </c>
      <c r="AR472" s="38" t="s">
        <v>192</v>
      </c>
      <c r="AS472" s="38">
        <v>4</v>
      </c>
      <c r="AT472" s="38">
        <v>4</v>
      </c>
      <c r="AU472" s="38" t="s">
        <v>379</v>
      </c>
      <c r="AW472" s="38">
        <f>(8.7+2.5)*1000</f>
        <v>11200</v>
      </c>
      <c r="AX472" s="38">
        <f t="shared" ref="AX472" si="92">AW472/(288+71)</f>
        <v>31.197771587743734</v>
      </c>
      <c r="AY472" s="64" t="s">
        <v>486</v>
      </c>
      <c r="BM472" s="38">
        <v>7.7489999999999997</v>
      </c>
      <c r="BN472" s="38">
        <v>5.7</v>
      </c>
      <c r="BO472" s="38" t="s">
        <v>484</v>
      </c>
      <c r="EJ472" s="12"/>
      <c r="EL472" s="15"/>
      <c r="FR472" s="38" t="s">
        <v>487</v>
      </c>
      <c r="FS472" s="38" t="s">
        <v>808</v>
      </c>
      <c r="FT472" s="38">
        <v>26</v>
      </c>
    </row>
    <row r="473" spans="1:176" s="38" customFormat="1" x14ac:dyDescent="0.25">
      <c r="A473" s="38">
        <v>26</v>
      </c>
      <c r="B473" s="38" t="s">
        <v>469</v>
      </c>
      <c r="C473" s="38" t="s">
        <v>470</v>
      </c>
      <c r="D473" s="38">
        <v>2015</v>
      </c>
      <c r="E473" s="38">
        <v>2012</v>
      </c>
      <c r="F473" s="38" t="s">
        <v>336</v>
      </c>
      <c r="G473" s="38" t="s">
        <v>471</v>
      </c>
      <c r="H473" s="38">
        <f t="shared" si="61"/>
        <v>35.39</v>
      </c>
      <c r="I473" s="38">
        <f t="shared" si="62"/>
        <v>-78.03</v>
      </c>
      <c r="J473" s="38">
        <v>24.3</v>
      </c>
      <c r="P473" s="57">
        <v>1</v>
      </c>
      <c r="Q473" s="57"/>
      <c r="R473" s="57" t="s">
        <v>481</v>
      </c>
      <c r="S473" s="57" t="s">
        <v>1558</v>
      </c>
      <c r="T473" s="57" t="s">
        <v>1558</v>
      </c>
      <c r="U473" s="57" t="s">
        <v>1558</v>
      </c>
      <c r="V473" s="57" t="s">
        <v>1905</v>
      </c>
      <c r="Z473" s="38" t="s">
        <v>210</v>
      </c>
      <c r="AD473" s="38" t="s">
        <v>1487</v>
      </c>
      <c r="AE473" s="38" t="s">
        <v>474</v>
      </c>
      <c r="AF473" s="152" t="s">
        <v>666</v>
      </c>
      <c r="AG473" s="38" t="s">
        <v>160</v>
      </c>
      <c r="AH473" s="155" t="s">
        <v>160</v>
      </c>
      <c r="AL473" s="38" t="s">
        <v>483</v>
      </c>
      <c r="AM473" s="38" t="s">
        <v>483</v>
      </c>
      <c r="AN473" s="38" t="s">
        <v>212</v>
      </c>
      <c r="AO473" s="38">
        <v>0</v>
      </c>
      <c r="AP473" s="38">
        <v>0</v>
      </c>
      <c r="AQ473" s="38" t="s">
        <v>212</v>
      </c>
      <c r="AR473" s="38" t="s">
        <v>192</v>
      </c>
      <c r="AS473" s="38">
        <v>4</v>
      </c>
      <c r="AT473" s="38">
        <v>4</v>
      </c>
      <c r="AU473" s="38" t="s">
        <v>379</v>
      </c>
      <c r="AW473" s="38">
        <f>(6.5+1.7)*1000</f>
        <v>8200</v>
      </c>
      <c r="AX473" s="38">
        <f t="shared" ref="AX473" si="93">AW473/(205+53)</f>
        <v>31.782945736434108</v>
      </c>
      <c r="AY473" s="64" t="s">
        <v>486</v>
      </c>
      <c r="BM473" s="38">
        <v>4.3230000000000004</v>
      </c>
      <c r="BN473" s="38">
        <v>3.18</v>
      </c>
      <c r="BO473" s="38" t="s">
        <v>484</v>
      </c>
      <c r="EJ473" s="12"/>
      <c r="EL473" s="15"/>
      <c r="FR473" s="38" t="s">
        <v>487</v>
      </c>
      <c r="FS473" s="38" t="s">
        <v>808</v>
      </c>
      <c r="FT473" s="38">
        <v>26</v>
      </c>
    </row>
    <row r="474" spans="1:176" s="38" customFormat="1" x14ac:dyDescent="0.25">
      <c r="A474" s="38">
        <v>26</v>
      </c>
      <c r="B474" s="38" t="s">
        <v>469</v>
      </c>
      <c r="C474" s="38" t="s">
        <v>470</v>
      </c>
      <c r="D474" s="38">
        <v>2015</v>
      </c>
      <c r="E474" s="38">
        <v>2012</v>
      </c>
      <c r="F474" s="38" t="s">
        <v>336</v>
      </c>
      <c r="G474" s="38" t="s">
        <v>471</v>
      </c>
      <c r="H474" s="38">
        <f t="shared" si="61"/>
        <v>35.39</v>
      </c>
      <c r="I474" s="38">
        <f t="shared" si="62"/>
        <v>-78.03</v>
      </c>
      <c r="J474" s="38">
        <v>24.3</v>
      </c>
      <c r="P474" s="57">
        <v>1</v>
      </c>
      <c r="Q474" s="57"/>
      <c r="R474" s="57" t="s">
        <v>481</v>
      </c>
      <c r="S474" s="57" t="s">
        <v>1558</v>
      </c>
      <c r="T474" s="57" t="s">
        <v>1558</v>
      </c>
      <c r="U474" s="57" t="s">
        <v>1558</v>
      </c>
      <c r="V474" s="57" t="s">
        <v>1905</v>
      </c>
      <c r="Z474" s="38" t="s">
        <v>210</v>
      </c>
      <c r="AD474" s="38" t="s">
        <v>1487</v>
      </c>
      <c r="AE474" s="38" t="s">
        <v>475</v>
      </c>
      <c r="AF474" s="152" t="s">
        <v>666</v>
      </c>
      <c r="AG474" s="38" t="s">
        <v>160</v>
      </c>
      <c r="AH474" s="155" t="s">
        <v>160</v>
      </c>
      <c r="AL474" s="38" t="s">
        <v>483</v>
      </c>
      <c r="AM474" s="38" t="s">
        <v>483</v>
      </c>
      <c r="AN474" s="38" t="s">
        <v>212</v>
      </c>
      <c r="AO474" s="38">
        <v>0</v>
      </c>
      <c r="AP474" s="38">
        <v>0</v>
      </c>
      <c r="AQ474" s="38" t="s">
        <v>212</v>
      </c>
      <c r="AR474" s="38" t="s">
        <v>192</v>
      </c>
      <c r="AS474" s="38">
        <v>4</v>
      </c>
      <c r="AT474" s="38">
        <v>4</v>
      </c>
      <c r="AU474" s="38" t="s">
        <v>379</v>
      </c>
      <c r="AW474" s="38">
        <f>(9.6+2.8)*1000</f>
        <v>12399.999999999998</v>
      </c>
      <c r="AX474" s="38">
        <f t="shared" ref="AX474" si="94">AW474/(256+66)</f>
        <v>38.509316770186331</v>
      </c>
      <c r="AY474" s="64" t="s">
        <v>486</v>
      </c>
      <c r="BM474" s="38">
        <v>4.3230000000000004</v>
      </c>
      <c r="BN474" s="38">
        <v>4.2</v>
      </c>
      <c r="BO474" s="38" t="s">
        <v>484</v>
      </c>
      <c r="EJ474" s="12"/>
      <c r="EL474" s="15"/>
      <c r="FR474" s="38" t="s">
        <v>487</v>
      </c>
      <c r="FS474" s="38" t="s">
        <v>808</v>
      </c>
      <c r="FT474" s="38">
        <v>26</v>
      </c>
    </row>
    <row r="475" spans="1:176" s="38" customFormat="1" x14ac:dyDescent="0.25">
      <c r="A475" s="38">
        <v>26</v>
      </c>
      <c r="B475" s="38" t="s">
        <v>469</v>
      </c>
      <c r="C475" s="38" t="s">
        <v>470</v>
      </c>
      <c r="D475" s="38">
        <v>2015</v>
      </c>
      <c r="E475" s="38">
        <v>2012</v>
      </c>
      <c r="F475" s="38" t="s">
        <v>336</v>
      </c>
      <c r="G475" s="38" t="s">
        <v>471</v>
      </c>
      <c r="H475" s="38">
        <f t="shared" si="61"/>
        <v>35.39</v>
      </c>
      <c r="I475" s="38">
        <f t="shared" si="62"/>
        <v>-78.03</v>
      </c>
      <c r="J475" s="38">
        <v>24.3</v>
      </c>
      <c r="P475" s="57">
        <v>1</v>
      </c>
      <c r="Q475" s="57"/>
      <c r="R475" s="57" t="s">
        <v>481</v>
      </c>
      <c r="S475" s="57" t="s">
        <v>1558</v>
      </c>
      <c r="T475" s="57" t="s">
        <v>1558</v>
      </c>
      <c r="U475" s="57" t="s">
        <v>1558</v>
      </c>
      <c r="V475" s="57" t="s">
        <v>1905</v>
      </c>
      <c r="Z475" s="38" t="s">
        <v>210</v>
      </c>
      <c r="AD475" s="38" t="s">
        <v>1487</v>
      </c>
      <c r="AE475" s="38" t="s">
        <v>281</v>
      </c>
      <c r="AF475" s="152" t="s">
        <v>666</v>
      </c>
      <c r="AG475" s="38" t="s">
        <v>160</v>
      </c>
      <c r="AH475" s="155" t="s">
        <v>160</v>
      </c>
      <c r="AL475" s="38" t="s">
        <v>483</v>
      </c>
      <c r="AM475" s="38" t="s">
        <v>483</v>
      </c>
      <c r="AN475" s="38" t="s">
        <v>212</v>
      </c>
      <c r="AO475" s="38">
        <v>0</v>
      </c>
      <c r="AP475" s="38">
        <v>0</v>
      </c>
      <c r="AQ475" s="38" t="s">
        <v>212</v>
      </c>
      <c r="AR475" s="38" t="s">
        <v>192</v>
      </c>
      <c r="AS475" s="38">
        <v>4</v>
      </c>
      <c r="AT475" s="38">
        <v>4</v>
      </c>
      <c r="AU475" s="38" t="s">
        <v>379</v>
      </c>
      <c r="AW475" s="38">
        <f>(8.7+2.5)*1000</f>
        <v>11200</v>
      </c>
      <c r="AX475" s="38">
        <f t="shared" ref="AX475" si="95">AW475/(288+71)</f>
        <v>31.197771587743734</v>
      </c>
      <c r="AY475" s="64" t="s">
        <v>486</v>
      </c>
      <c r="BM475" s="38">
        <v>4.3230000000000004</v>
      </c>
      <c r="BN475" s="38">
        <v>3.18</v>
      </c>
      <c r="BO475" s="38" t="s">
        <v>484</v>
      </c>
      <c r="EJ475" s="12"/>
      <c r="EL475" s="15"/>
      <c r="FR475" s="38" t="s">
        <v>487</v>
      </c>
      <c r="FS475" s="38" t="s">
        <v>808</v>
      </c>
      <c r="FT475" s="38">
        <v>26</v>
      </c>
    </row>
    <row r="476" spans="1:176" s="38" customFormat="1" x14ac:dyDescent="0.25">
      <c r="A476" s="38">
        <v>26</v>
      </c>
      <c r="B476" s="38" t="s">
        <v>469</v>
      </c>
      <c r="C476" s="38" t="s">
        <v>470</v>
      </c>
      <c r="D476" s="38">
        <v>2015</v>
      </c>
      <c r="E476" s="38">
        <v>2012</v>
      </c>
      <c r="F476" s="38" t="s">
        <v>336</v>
      </c>
      <c r="G476" s="38" t="s">
        <v>471</v>
      </c>
      <c r="H476" s="38">
        <f t="shared" si="61"/>
        <v>35.39</v>
      </c>
      <c r="I476" s="38">
        <f t="shared" si="62"/>
        <v>-78.03</v>
      </c>
      <c r="J476" s="38">
        <v>24.3</v>
      </c>
      <c r="P476" s="57">
        <v>1</v>
      </c>
      <c r="Q476" s="57"/>
      <c r="R476" s="57" t="s">
        <v>482</v>
      </c>
      <c r="S476" s="57" t="s">
        <v>1558</v>
      </c>
      <c r="T476" s="57" t="s">
        <v>1558</v>
      </c>
      <c r="U476" s="57" t="s">
        <v>1558</v>
      </c>
      <c r="V476" s="57" t="s">
        <v>1905</v>
      </c>
      <c r="Z476" s="38" t="s">
        <v>210</v>
      </c>
      <c r="AD476" s="38" t="s">
        <v>1487</v>
      </c>
      <c r="AE476" s="38" t="s">
        <v>474</v>
      </c>
      <c r="AF476" s="152" t="s">
        <v>666</v>
      </c>
      <c r="AG476" s="38" t="s">
        <v>160</v>
      </c>
      <c r="AH476" s="155" t="s">
        <v>160</v>
      </c>
      <c r="AL476" s="38" t="s">
        <v>483</v>
      </c>
      <c r="AM476" s="38" t="s">
        <v>483</v>
      </c>
      <c r="AN476" s="38" t="s">
        <v>212</v>
      </c>
      <c r="AO476" s="38">
        <v>0</v>
      </c>
      <c r="AP476" s="38">
        <v>0</v>
      </c>
      <c r="AQ476" s="38" t="s">
        <v>212</v>
      </c>
      <c r="AR476" s="38" t="s">
        <v>192</v>
      </c>
      <c r="AS476" s="38">
        <v>4</v>
      </c>
      <c r="AT476" s="38">
        <v>4</v>
      </c>
      <c r="AU476" s="38" t="s">
        <v>379</v>
      </c>
      <c r="AW476" s="38">
        <f>(6.5+1.7)*1000</f>
        <v>8200</v>
      </c>
      <c r="AX476" s="38">
        <f t="shared" ref="AX476" si="96">AW476/(205+53)</f>
        <v>31.782945736434108</v>
      </c>
      <c r="AY476" s="64" t="s">
        <v>486</v>
      </c>
      <c r="BM476" s="38">
        <v>4.16</v>
      </c>
      <c r="BN476" s="38">
        <v>3.1</v>
      </c>
      <c r="BO476" s="38" t="s">
        <v>484</v>
      </c>
      <c r="EJ476" s="12"/>
      <c r="EL476" s="15"/>
      <c r="FR476" s="38" t="s">
        <v>487</v>
      </c>
      <c r="FS476" s="38" t="s">
        <v>808</v>
      </c>
      <c r="FT476" s="38">
        <v>26</v>
      </c>
    </row>
    <row r="477" spans="1:176" s="38" customFormat="1" x14ac:dyDescent="0.25">
      <c r="A477" s="38">
        <v>26</v>
      </c>
      <c r="B477" s="38" t="s">
        <v>469</v>
      </c>
      <c r="C477" s="38" t="s">
        <v>470</v>
      </c>
      <c r="D477" s="38">
        <v>2015</v>
      </c>
      <c r="E477" s="38">
        <v>2012</v>
      </c>
      <c r="F477" s="38" t="s">
        <v>336</v>
      </c>
      <c r="G477" s="38" t="s">
        <v>471</v>
      </c>
      <c r="H477" s="38">
        <f t="shared" si="61"/>
        <v>35.39</v>
      </c>
      <c r="I477" s="38">
        <f t="shared" si="62"/>
        <v>-78.03</v>
      </c>
      <c r="J477" s="38">
        <v>24.3</v>
      </c>
      <c r="P477" s="57">
        <v>1</v>
      </c>
      <c r="Q477" s="57"/>
      <c r="R477" s="57" t="s">
        <v>482</v>
      </c>
      <c r="S477" s="57" t="s">
        <v>1558</v>
      </c>
      <c r="T477" s="57" t="s">
        <v>1558</v>
      </c>
      <c r="U477" s="57" t="s">
        <v>1558</v>
      </c>
      <c r="V477" s="57" t="s">
        <v>1905</v>
      </c>
      <c r="Z477" s="38" t="s">
        <v>210</v>
      </c>
      <c r="AD477" s="38" t="s">
        <v>1487</v>
      </c>
      <c r="AE477" s="38" t="s">
        <v>475</v>
      </c>
      <c r="AF477" s="152" t="s">
        <v>666</v>
      </c>
      <c r="AG477" s="38" t="s">
        <v>160</v>
      </c>
      <c r="AH477" s="155" t="s">
        <v>160</v>
      </c>
      <c r="AL477" s="38" t="s">
        <v>483</v>
      </c>
      <c r="AM477" s="38" t="s">
        <v>483</v>
      </c>
      <c r="AN477" s="38" t="s">
        <v>212</v>
      </c>
      <c r="AO477" s="38">
        <v>0</v>
      </c>
      <c r="AP477" s="38">
        <v>0</v>
      </c>
      <c r="AQ477" s="38" t="s">
        <v>212</v>
      </c>
      <c r="AR477" s="38" t="s">
        <v>192</v>
      </c>
      <c r="AS477" s="38">
        <v>4</v>
      </c>
      <c r="AT477" s="38">
        <v>4</v>
      </c>
      <c r="AU477" s="38" t="s">
        <v>379</v>
      </c>
      <c r="AW477" s="38">
        <f>(9.6+2.8)*1000</f>
        <v>12399.999999999998</v>
      </c>
      <c r="AX477" s="38">
        <f t="shared" ref="AX477" si="97">AW477/(256+66)</f>
        <v>38.509316770186331</v>
      </c>
      <c r="AY477" s="64" t="s">
        <v>486</v>
      </c>
      <c r="BM477" s="38">
        <v>4.16</v>
      </c>
      <c r="BN477" s="38">
        <v>5.3</v>
      </c>
      <c r="BO477" s="38" t="s">
        <v>484</v>
      </c>
      <c r="EJ477" s="12"/>
      <c r="EL477" s="15"/>
      <c r="FR477" s="38" t="s">
        <v>487</v>
      </c>
      <c r="FS477" s="38" t="s">
        <v>808</v>
      </c>
      <c r="FT477" s="38">
        <v>26</v>
      </c>
    </row>
    <row r="478" spans="1:176" s="38" customFormat="1" x14ac:dyDescent="0.25">
      <c r="A478" s="38">
        <v>26</v>
      </c>
      <c r="B478" s="38" t="s">
        <v>469</v>
      </c>
      <c r="C478" s="38" t="s">
        <v>470</v>
      </c>
      <c r="D478" s="38">
        <v>2015</v>
      </c>
      <c r="E478" s="38">
        <v>2012</v>
      </c>
      <c r="F478" s="38" t="s">
        <v>336</v>
      </c>
      <c r="G478" s="38" t="s">
        <v>471</v>
      </c>
      <c r="H478" s="38">
        <f t="shared" si="61"/>
        <v>35.39</v>
      </c>
      <c r="I478" s="38">
        <f t="shared" si="62"/>
        <v>-78.03</v>
      </c>
      <c r="J478" s="38">
        <v>24.3</v>
      </c>
      <c r="P478" s="57">
        <v>1</v>
      </c>
      <c r="Q478" s="57"/>
      <c r="R478" s="57" t="s">
        <v>482</v>
      </c>
      <c r="S478" s="57" t="s">
        <v>1558</v>
      </c>
      <c r="T478" s="57" t="s">
        <v>1558</v>
      </c>
      <c r="U478" s="57" t="s">
        <v>1558</v>
      </c>
      <c r="V478" s="57" t="s">
        <v>1905</v>
      </c>
      <c r="Z478" s="38" t="s">
        <v>210</v>
      </c>
      <c r="AD478" s="38" t="s">
        <v>1487</v>
      </c>
      <c r="AE478" s="38" t="s">
        <v>281</v>
      </c>
      <c r="AF478" s="152" t="s">
        <v>666</v>
      </c>
      <c r="AG478" s="38" t="s">
        <v>160</v>
      </c>
      <c r="AH478" s="155" t="s">
        <v>160</v>
      </c>
      <c r="AL478" s="38" t="s">
        <v>483</v>
      </c>
      <c r="AM478" s="38" t="s">
        <v>483</v>
      </c>
      <c r="AN478" s="38" t="s">
        <v>212</v>
      </c>
      <c r="AO478" s="38">
        <v>0</v>
      </c>
      <c r="AP478" s="38">
        <v>0</v>
      </c>
      <c r="AQ478" s="38" t="s">
        <v>212</v>
      </c>
      <c r="AR478" s="38" t="s">
        <v>192</v>
      </c>
      <c r="AS478" s="38">
        <v>4</v>
      </c>
      <c r="AT478" s="38">
        <v>4</v>
      </c>
      <c r="AU478" s="38" t="s">
        <v>379</v>
      </c>
      <c r="AW478" s="38">
        <f>(8.7+2.5)*1000</f>
        <v>11200</v>
      </c>
      <c r="AX478" s="38">
        <f t="shared" ref="AX478" si="98">AW478/(288+71)</f>
        <v>31.197771587743734</v>
      </c>
      <c r="AY478" s="64" t="s">
        <v>486</v>
      </c>
      <c r="BM478" s="38">
        <v>4.16</v>
      </c>
      <c r="BN478" s="38">
        <v>6.3</v>
      </c>
      <c r="BO478" s="38" t="s">
        <v>484</v>
      </c>
      <c r="EJ478" s="12"/>
      <c r="EL478" s="15"/>
      <c r="FR478" s="38" t="s">
        <v>487</v>
      </c>
      <c r="FS478" s="38" t="s">
        <v>808</v>
      </c>
      <c r="FT478" s="38">
        <v>26</v>
      </c>
    </row>
    <row r="479" spans="1:176" s="23" customFormat="1" x14ac:dyDescent="0.25">
      <c r="A479" s="23">
        <v>26</v>
      </c>
      <c r="B479" s="23" t="s">
        <v>469</v>
      </c>
      <c r="C479" s="23" t="s">
        <v>470</v>
      </c>
      <c r="D479" s="23">
        <v>2015</v>
      </c>
      <c r="E479" s="23">
        <v>2012</v>
      </c>
      <c r="F479" s="23" t="s">
        <v>336</v>
      </c>
      <c r="G479" s="23" t="s">
        <v>472</v>
      </c>
      <c r="H479" s="23">
        <f>35.22</f>
        <v>35.22</v>
      </c>
      <c r="I479" s="23">
        <f>-77.65</f>
        <v>-77.650000000000006</v>
      </c>
      <c r="J479" s="23">
        <v>22.4</v>
      </c>
      <c r="P479" s="53">
        <v>1</v>
      </c>
      <c r="Q479" s="53"/>
      <c r="R479" s="53" t="s">
        <v>476</v>
      </c>
      <c r="S479" s="53" t="s">
        <v>1558</v>
      </c>
      <c r="T479" s="53" t="s">
        <v>1558</v>
      </c>
      <c r="U479" s="53" t="s">
        <v>1558</v>
      </c>
      <c r="V479" s="53" t="s">
        <v>1905</v>
      </c>
      <c r="Z479" s="23" t="s">
        <v>167</v>
      </c>
      <c r="AD479" s="23" t="s">
        <v>1487</v>
      </c>
      <c r="AE479" s="23" t="s">
        <v>474</v>
      </c>
      <c r="AF479" s="152" t="s">
        <v>666</v>
      </c>
      <c r="AG479" s="23" t="s">
        <v>160</v>
      </c>
      <c r="AH479" s="155" t="s">
        <v>160</v>
      </c>
      <c r="AL479" s="23" t="s">
        <v>473</v>
      </c>
      <c r="AM479" s="23" t="s">
        <v>473</v>
      </c>
      <c r="AN479" s="23" t="s">
        <v>212</v>
      </c>
      <c r="AO479" s="23">
        <v>0</v>
      </c>
      <c r="AP479" s="23">
        <v>0</v>
      </c>
      <c r="AQ479" s="23" t="s">
        <v>212</v>
      </c>
      <c r="AR479" s="23" t="s">
        <v>192</v>
      </c>
      <c r="AS479" s="23">
        <v>4</v>
      </c>
      <c r="AT479" s="23">
        <v>4</v>
      </c>
      <c r="AU479" s="23" t="s">
        <v>379</v>
      </c>
      <c r="AW479" s="23">
        <f>(6.1+1.6)*1000</f>
        <v>7699.9999999999991</v>
      </c>
      <c r="AX479" s="23">
        <f>AW479/(170+36)</f>
        <v>37.378640776699022</v>
      </c>
      <c r="AY479" s="64" t="s">
        <v>485</v>
      </c>
      <c r="BM479" s="23">
        <v>3.83</v>
      </c>
      <c r="BN479" s="23">
        <v>10.109</v>
      </c>
      <c r="BO479" s="23" t="s">
        <v>484</v>
      </c>
      <c r="EJ479" s="12"/>
      <c r="EL479" s="15"/>
      <c r="FR479" s="23" t="s">
        <v>487</v>
      </c>
      <c r="FS479" s="23" t="s">
        <v>808</v>
      </c>
      <c r="FT479" s="23">
        <v>26</v>
      </c>
    </row>
    <row r="480" spans="1:176" s="23" customFormat="1" x14ac:dyDescent="0.25">
      <c r="A480" s="23">
        <v>26</v>
      </c>
      <c r="B480" s="23" t="s">
        <v>469</v>
      </c>
      <c r="C480" s="23" t="s">
        <v>470</v>
      </c>
      <c r="D480" s="23">
        <v>2015</v>
      </c>
      <c r="E480" s="23">
        <v>2012</v>
      </c>
      <c r="F480" s="23" t="s">
        <v>336</v>
      </c>
      <c r="G480" s="23" t="s">
        <v>472</v>
      </c>
      <c r="H480" s="23">
        <f>35.22</f>
        <v>35.22</v>
      </c>
      <c r="I480" s="23">
        <f>-77.65</f>
        <v>-77.650000000000006</v>
      </c>
      <c r="J480" s="23">
        <v>22.4</v>
      </c>
      <c r="P480" s="53">
        <v>1</v>
      </c>
      <c r="Q480" s="53"/>
      <c r="R480" s="53" t="s">
        <v>476</v>
      </c>
      <c r="S480" s="53" t="s">
        <v>1558</v>
      </c>
      <c r="T480" s="53" t="s">
        <v>1558</v>
      </c>
      <c r="U480" s="53" t="s">
        <v>1558</v>
      </c>
      <c r="V480" s="53" t="s">
        <v>1905</v>
      </c>
      <c r="Z480" s="23" t="s">
        <v>167</v>
      </c>
      <c r="AD480" s="23" t="s">
        <v>1487</v>
      </c>
      <c r="AE480" s="23" t="s">
        <v>475</v>
      </c>
      <c r="AF480" s="152" t="s">
        <v>666</v>
      </c>
      <c r="AG480" s="23" t="s">
        <v>160</v>
      </c>
      <c r="AH480" s="155" t="s">
        <v>160</v>
      </c>
      <c r="AL480" s="23" t="s">
        <v>473</v>
      </c>
      <c r="AM480" s="23" t="s">
        <v>473</v>
      </c>
      <c r="AN480" s="23" t="s">
        <v>212</v>
      </c>
      <c r="AO480" s="23">
        <v>0</v>
      </c>
      <c r="AP480" s="23">
        <v>0</v>
      </c>
      <c r="AQ480" s="23" t="s">
        <v>212</v>
      </c>
      <c r="AR480" s="23" t="s">
        <v>192</v>
      </c>
      <c r="AS480" s="23">
        <v>4</v>
      </c>
      <c r="AT480" s="23">
        <v>4</v>
      </c>
      <c r="AU480" s="23" t="s">
        <v>379</v>
      </c>
      <c r="AW480" s="23">
        <f>(6.4+1.9)*1000</f>
        <v>8300</v>
      </c>
      <c r="AX480" s="23">
        <f>AW480/(110+27)</f>
        <v>60.583941605839414</v>
      </c>
      <c r="AY480" s="64" t="s">
        <v>485</v>
      </c>
      <c r="BM480" s="23">
        <v>3.83</v>
      </c>
      <c r="BN480" s="23">
        <v>6.032</v>
      </c>
      <c r="BO480" s="23" t="s">
        <v>484</v>
      </c>
      <c r="EJ480" s="12"/>
      <c r="EL480" s="15"/>
      <c r="FR480" s="23" t="s">
        <v>487</v>
      </c>
      <c r="FS480" s="23" t="s">
        <v>808</v>
      </c>
      <c r="FT480" s="23">
        <v>26</v>
      </c>
    </row>
    <row r="481" spans="1:176" s="23" customFormat="1" x14ac:dyDescent="0.25">
      <c r="A481" s="23">
        <v>26</v>
      </c>
      <c r="B481" s="23" t="s">
        <v>469</v>
      </c>
      <c r="C481" s="23" t="s">
        <v>470</v>
      </c>
      <c r="D481" s="23">
        <v>2015</v>
      </c>
      <c r="E481" s="23">
        <v>2012</v>
      </c>
      <c r="F481" s="23" t="s">
        <v>336</v>
      </c>
      <c r="G481" s="23" t="s">
        <v>472</v>
      </c>
      <c r="H481" s="23">
        <f t="shared" ref="H481:H520" si="99">35.22</f>
        <v>35.22</v>
      </c>
      <c r="I481" s="23">
        <f t="shared" ref="I481:I520" si="100">-77.65</f>
        <v>-77.650000000000006</v>
      </c>
      <c r="J481" s="23">
        <v>22.4</v>
      </c>
      <c r="P481" s="53">
        <v>1</v>
      </c>
      <c r="Q481" s="53"/>
      <c r="R481" s="53" t="s">
        <v>476</v>
      </c>
      <c r="S481" s="53" t="s">
        <v>1558</v>
      </c>
      <c r="T481" s="53" t="s">
        <v>1558</v>
      </c>
      <c r="U481" s="53" t="s">
        <v>1558</v>
      </c>
      <c r="V481" s="53" t="s">
        <v>1905</v>
      </c>
      <c r="Z481" s="23" t="s">
        <v>167</v>
      </c>
      <c r="AD481" s="23" t="s">
        <v>1487</v>
      </c>
      <c r="AE481" s="23" t="s">
        <v>281</v>
      </c>
      <c r="AF481" s="152" t="s">
        <v>666</v>
      </c>
      <c r="AG481" s="23" t="s">
        <v>160</v>
      </c>
      <c r="AH481" s="155" t="s">
        <v>160</v>
      </c>
      <c r="AL481" s="23" t="s">
        <v>473</v>
      </c>
      <c r="AM481" s="23" t="s">
        <v>473</v>
      </c>
      <c r="AN481" s="23" t="s">
        <v>212</v>
      </c>
      <c r="AO481" s="23">
        <v>0</v>
      </c>
      <c r="AP481" s="23">
        <v>0</v>
      </c>
      <c r="AQ481" s="23" t="s">
        <v>212</v>
      </c>
      <c r="AR481" s="23" t="s">
        <v>192</v>
      </c>
      <c r="AS481" s="23">
        <v>4</v>
      </c>
      <c r="AT481" s="23">
        <v>4</v>
      </c>
      <c r="AU481" s="23" t="s">
        <v>379</v>
      </c>
      <c r="AW481" s="23">
        <f>(6.5+1.8)*1000</f>
        <v>8300</v>
      </c>
      <c r="AX481" s="23">
        <f>AW481/(175+47)</f>
        <v>37.387387387387385</v>
      </c>
      <c r="AY481" s="64" t="s">
        <v>485</v>
      </c>
      <c r="BM481" s="23">
        <v>3.83</v>
      </c>
      <c r="BN481" s="23">
        <v>8.2330000000000005</v>
      </c>
      <c r="BO481" s="23" t="s">
        <v>484</v>
      </c>
      <c r="EJ481" s="12"/>
      <c r="EL481" s="15"/>
      <c r="FR481" s="23" t="s">
        <v>487</v>
      </c>
      <c r="FS481" s="23" t="s">
        <v>808</v>
      </c>
      <c r="FT481" s="23">
        <v>26</v>
      </c>
    </row>
    <row r="482" spans="1:176" s="23" customFormat="1" x14ac:dyDescent="0.25">
      <c r="A482" s="23">
        <v>26</v>
      </c>
      <c r="B482" s="23" t="s">
        <v>469</v>
      </c>
      <c r="C482" s="23" t="s">
        <v>470</v>
      </c>
      <c r="D482" s="23">
        <v>2015</v>
      </c>
      <c r="E482" s="23">
        <v>2012</v>
      </c>
      <c r="F482" s="23" t="s">
        <v>336</v>
      </c>
      <c r="G482" s="23" t="s">
        <v>472</v>
      </c>
      <c r="H482" s="23">
        <f t="shared" si="99"/>
        <v>35.22</v>
      </c>
      <c r="I482" s="23">
        <f t="shared" si="100"/>
        <v>-77.650000000000006</v>
      </c>
      <c r="J482" s="23">
        <v>22.4</v>
      </c>
      <c r="P482" s="53">
        <v>1</v>
      </c>
      <c r="Q482" s="53"/>
      <c r="R482" s="53" t="s">
        <v>477</v>
      </c>
      <c r="S482" s="53" t="s">
        <v>1558</v>
      </c>
      <c r="T482" s="53" t="s">
        <v>1558</v>
      </c>
      <c r="U482" s="53" t="s">
        <v>1558</v>
      </c>
      <c r="V482" s="53" t="s">
        <v>1905</v>
      </c>
      <c r="Z482" s="23" t="s">
        <v>167</v>
      </c>
      <c r="AD482" s="23" t="s">
        <v>1487</v>
      </c>
      <c r="AE482" s="23" t="s">
        <v>474</v>
      </c>
      <c r="AF482" s="152" t="s">
        <v>666</v>
      </c>
      <c r="AG482" s="23" t="s">
        <v>160</v>
      </c>
      <c r="AH482" s="155" t="s">
        <v>160</v>
      </c>
      <c r="AL482" s="23" t="s">
        <v>473</v>
      </c>
      <c r="AM482" s="23" t="s">
        <v>473</v>
      </c>
      <c r="AN482" s="23" t="s">
        <v>212</v>
      </c>
      <c r="AO482" s="23">
        <v>0</v>
      </c>
      <c r="AP482" s="23">
        <v>0</v>
      </c>
      <c r="AQ482" s="23" t="s">
        <v>212</v>
      </c>
      <c r="AR482" s="23" t="s">
        <v>192</v>
      </c>
      <c r="AS482" s="23">
        <v>4</v>
      </c>
      <c r="AT482" s="23">
        <v>4</v>
      </c>
      <c r="AU482" s="23" t="s">
        <v>379</v>
      </c>
      <c r="AW482" s="23">
        <f t="shared" ref="AW482" si="101">(6.1+1.6)*1000</f>
        <v>7699.9999999999991</v>
      </c>
      <c r="AX482" s="23">
        <f t="shared" ref="AX482" si="102">AW482/(170+36)</f>
        <v>37.378640776699022</v>
      </c>
      <c r="AY482" s="64" t="s">
        <v>485</v>
      </c>
      <c r="BM482" s="23">
        <v>2.1880000000000002</v>
      </c>
      <c r="BN482" s="23">
        <v>3.74</v>
      </c>
      <c r="BO482" s="23" t="s">
        <v>484</v>
      </c>
      <c r="EJ482" s="12"/>
      <c r="EL482" s="15"/>
      <c r="FR482" s="23" t="s">
        <v>487</v>
      </c>
      <c r="FS482" s="23" t="s">
        <v>808</v>
      </c>
      <c r="FT482" s="23">
        <v>26</v>
      </c>
    </row>
    <row r="483" spans="1:176" s="23" customFormat="1" x14ac:dyDescent="0.25">
      <c r="A483" s="23">
        <v>26</v>
      </c>
      <c r="B483" s="23" t="s">
        <v>469</v>
      </c>
      <c r="C483" s="23" t="s">
        <v>470</v>
      </c>
      <c r="D483" s="23">
        <v>2015</v>
      </c>
      <c r="E483" s="23">
        <v>2012</v>
      </c>
      <c r="F483" s="23" t="s">
        <v>336</v>
      </c>
      <c r="G483" s="23" t="s">
        <v>472</v>
      </c>
      <c r="H483" s="23">
        <f t="shared" si="99"/>
        <v>35.22</v>
      </c>
      <c r="I483" s="23">
        <f t="shared" si="100"/>
        <v>-77.650000000000006</v>
      </c>
      <c r="J483" s="23">
        <v>22.4</v>
      </c>
      <c r="P483" s="53">
        <v>1</v>
      </c>
      <c r="Q483" s="53"/>
      <c r="R483" s="53" t="s">
        <v>477</v>
      </c>
      <c r="S483" s="53" t="s">
        <v>1558</v>
      </c>
      <c r="T483" s="53" t="s">
        <v>1558</v>
      </c>
      <c r="U483" s="53" t="s">
        <v>1558</v>
      </c>
      <c r="V483" s="53" t="s">
        <v>1905</v>
      </c>
      <c r="Z483" s="23" t="s">
        <v>167</v>
      </c>
      <c r="AD483" s="23" t="s">
        <v>1487</v>
      </c>
      <c r="AE483" s="23" t="s">
        <v>475</v>
      </c>
      <c r="AF483" s="152" t="s">
        <v>666</v>
      </c>
      <c r="AG483" s="23" t="s">
        <v>160</v>
      </c>
      <c r="AH483" s="155" t="s">
        <v>160</v>
      </c>
      <c r="AL483" s="23" t="s">
        <v>473</v>
      </c>
      <c r="AM483" s="23" t="s">
        <v>473</v>
      </c>
      <c r="AN483" s="23" t="s">
        <v>212</v>
      </c>
      <c r="AO483" s="23">
        <v>0</v>
      </c>
      <c r="AP483" s="23">
        <v>0</v>
      </c>
      <c r="AQ483" s="23" t="s">
        <v>212</v>
      </c>
      <c r="AR483" s="23" t="s">
        <v>192</v>
      </c>
      <c r="AS483" s="23">
        <v>4</v>
      </c>
      <c r="AT483" s="23">
        <v>4</v>
      </c>
      <c r="AU483" s="23" t="s">
        <v>379</v>
      </c>
      <c r="AW483" s="23">
        <f t="shared" ref="AW483" si="103">(6.4+1.9)*1000</f>
        <v>8300</v>
      </c>
      <c r="AX483" s="23">
        <f t="shared" ref="AX483" si="104">AW483/(110+27)</f>
        <v>60.583941605839414</v>
      </c>
      <c r="AY483" s="64" t="s">
        <v>485</v>
      </c>
      <c r="BM483" s="23">
        <v>2.1880000000000002</v>
      </c>
      <c r="BN483" s="23">
        <v>3.74</v>
      </c>
      <c r="BO483" s="23" t="s">
        <v>484</v>
      </c>
      <c r="EJ483" s="12"/>
      <c r="EL483" s="15"/>
      <c r="FR483" s="23" t="s">
        <v>487</v>
      </c>
      <c r="FS483" s="23" t="s">
        <v>808</v>
      </c>
      <c r="FT483" s="23">
        <v>26</v>
      </c>
    </row>
    <row r="484" spans="1:176" s="23" customFormat="1" x14ac:dyDescent="0.25">
      <c r="A484" s="23">
        <v>26</v>
      </c>
      <c r="B484" s="23" t="s">
        <v>469</v>
      </c>
      <c r="C484" s="23" t="s">
        <v>470</v>
      </c>
      <c r="D484" s="23">
        <v>2015</v>
      </c>
      <c r="E484" s="23">
        <v>2012</v>
      </c>
      <c r="F484" s="23" t="s">
        <v>336</v>
      </c>
      <c r="G484" s="23" t="s">
        <v>472</v>
      </c>
      <c r="H484" s="23">
        <f t="shared" si="99"/>
        <v>35.22</v>
      </c>
      <c r="I484" s="23">
        <f t="shared" si="100"/>
        <v>-77.650000000000006</v>
      </c>
      <c r="J484" s="23">
        <v>22.4</v>
      </c>
      <c r="P484" s="53">
        <v>1</v>
      </c>
      <c r="Q484" s="53"/>
      <c r="R484" s="53" t="s">
        <v>477</v>
      </c>
      <c r="S484" s="53" t="s">
        <v>1558</v>
      </c>
      <c r="T484" s="53" t="s">
        <v>1558</v>
      </c>
      <c r="U484" s="53" t="s">
        <v>1558</v>
      </c>
      <c r="V484" s="53" t="s">
        <v>1905</v>
      </c>
      <c r="Z484" s="23" t="s">
        <v>167</v>
      </c>
      <c r="AD484" s="23" t="s">
        <v>1487</v>
      </c>
      <c r="AE484" s="23" t="s">
        <v>281</v>
      </c>
      <c r="AF484" s="152" t="s">
        <v>666</v>
      </c>
      <c r="AG484" s="23" t="s">
        <v>160</v>
      </c>
      <c r="AH484" s="155" t="s">
        <v>160</v>
      </c>
      <c r="AL484" s="23" t="s">
        <v>473</v>
      </c>
      <c r="AM484" s="23" t="s">
        <v>473</v>
      </c>
      <c r="AN484" s="23" t="s">
        <v>212</v>
      </c>
      <c r="AO484" s="23">
        <v>0</v>
      </c>
      <c r="AP484" s="23">
        <v>0</v>
      </c>
      <c r="AQ484" s="23" t="s">
        <v>212</v>
      </c>
      <c r="AR484" s="23" t="s">
        <v>192</v>
      </c>
      <c r="AS484" s="23">
        <v>4</v>
      </c>
      <c r="AT484" s="23">
        <v>4</v>
      </c>
      <c r="AU484" s="23" t="s">
        <v>379</v>
      </c>
      <c r="AW484" s="23">
        <f t="shared" ref="AW484" si="105">(6.5+1.8)*1000</f>
        <v>8300</v>
      </c>
      <c r="AX484" s="23">
        <f t="shared" ref="AX484" si="106">AW484/(175+47)</f>
        <v>37.387387387387385</v>
      </c>
      <c r="AY484" s="64" t="s">
        <v>485</v>
      </c>
      <c r="BM484" s="23">
        <v>2.1880000000000002</v>
      </c>
      <c r="BN484" s="23">
        <v>3.74</v>
      </c>
      <c r="BO484" s="23" t="s">
        <v>484</v>
      </c>
      <c r="EJ484" s="12"/>
      <c r="EL484" s="15"/>
      <c r="FR484" s="23" t="s">
        <v>487</v>
      </c>
      <c r="FS484" s="23" t="s">
        <v>808</v>
      </c>
      <c r="FT484" s="23">
        <v>26</v>
      </c>
    </row>
    <row r="485" spans="1:176" s="23" customFormat="1" x14ac:dyDescent="0.25">
      <c r="A485" s="23">
        <v>26</v>
      </c>
      <c r="B485" s="23" t="s">
        <v>469</v>
      </c>
      <c r="C485" s="23" t="s">
        <v>470</v>
      </c>
      <c r="D485" s="23">
        <v>2015</v>
      </c>
      <c r="E485" s="23">
        <v>2012</v>
      </c>
      <c r="F485" s="23" t="s">
        <v>336</v>
      </c>
      <c r="G485" s="23" t="s">
        <v>472</v>
      </c>
      <c r="H485" s="23">
        <f t="shared" si="99"/>
        <v>35.22</v>
      </c>
      <c r="I485" s="23">
        <f t="shared" si="100"/>
        <v>-77.650000000000006</v>
      </c>
      <c r="J485" s="23">
        <v>22.4</v>
      </c>
      <c r="P485" s="53">
        <v>1</v>
      </c>
      <c r="Q485" s="53"/>
      <c r="R485" s="53" t="s">
        <v>478</v>
      </c>
      <c r="S485" s="53" t="s">
        <v>1558</v>
      </c>
      <c r="T485" s="53" t="s">
        <v>1558</v>
      </c>
      <c r="U485" s="53" t="s">
        <v>1558</v>
      </c>
      <c r="V485" s="53" t="s">
        <v>1905</v>
      </c>
      <c r="Z485" s="23" t="s">
        <v>167</v>
      </c>
      <c r="AD485" s="23" t="s">
        <v>1487</v>
      </c>
      <c r="AE485" s="23" t="s">
        <v>474</v>
      </c>
      <c r="AF485" s="152" t="s">
        <v>666</v>
      </c>
      <c r="AG485" s="23" t="s">
        <v>160</v>
      </c>
      <c r="AH485" s="155" t="s">
        <v>160</v>
      </c>
      <c r="AL485" s="23" t="s">
        <v>473</v>
      </c>
      <c r="AM485" s="23" t="s">
        <v>473</v>
      </c>
      <c r="AN485" s="23" t="s">
        <v>212</v>
      </c>
      <c r="AO485" s="23">
        <v>0</v>
      </c>
      <c r="AP485" s="23">
        <v>0</v>
      </c>
      <c r="AQ485" s="23" t="s">
        <v>212</v>
      </c>
      <c r="AR485" s="23" t="s">
        <v>192</v>
      </c>
      <c r="AS485" s="23">
        <v>4</v>
      </c>
      <c r="AT485" s="23">
        <v>4</v>
      </c>
      <c r="AU485" s="23" t="s">
        <v>379</v>
      </c>
      <c r="AW485" s="23">
        <f t="shared" ref="AW485" si="107">(6.1+1.6)*1000</f>
        <v>7699.9999999999991</v>
      </c>
      <c r="AX485" s="23">
        <f t="shared" ref="AX485" si="108">AW485/(170+36)</f>
        <v>37.378640776699022</v>
      </c>
      <c r="AY485" s="64" t="s">
        <v>485</v>
      </c>
      <c r="BM485" s="23">
        <v>3.157</v>
      </c>
      <c r="BN485" s="23">
        <v>3.17</v>
      </c>
      <c r="BO485" s="23" t="s">
        <v>484</v>
      </c>
      <c r="EJ485" s="12"/>
      <c r="EL485" s="15"/>
      <c r="FR485" s="23" t="s">
        <v>487</v>
      </c>
      <c r="FS485" s="23" t="s">
        <v>808</v>
      </c>
      <c r="FT485" s="23">
        <v>26</v>
      </c>
    </row>
    <row r="486" spans="1:176" s="23" customFormat="1" x14ac:dyDescent="0.25">
      <c r="A486" s="23">
        <v>26</v>
      </c>
      <c r="B486" s="23" t="s">
        <v>469</v>
      </c>
      <c r="C486" s="23" t="s">
        <v>470</v>
      </c>
      <c r="D486" s="23">
        <v>2015</v>
      </c>
      <c r="E486" s="23">
        <v>2012</v>
      </c>
      <c r="F486" s="23" t="s">
        <v>336</v>
      </c>
      <c r="G486" s="23" t="s">
        <v>472</v>
      </c>
      <c r="H486" s="23">
        <f t="shared" si="99"/>
        <v>35.22</v>
      </c>
      <c r="I486" s="23">
        <f t="shared" si="100"/>
        <v>-77.650000000000006</v>
      </c>
      <c r="J486" s="23">
        <v>22.4</v>
      </c>
      <c r="P486" s="53">
        <v>1</v>
      </c>
      <c r="Q486" s="53"/>
      <c r="R486" s="53" t="s">
        <v>478</v>
      </c>
      <c r="S486" s="53" t="s">
        <v>1558</v>
      </c>
      <c r="T486" s="53" t="s">
        <v>1558</v>
      </c>
      <c r="U486" s="53" t="s">
        <v>1558</v>
      </c>
      <c r="V486" s="53" t="s">
        <v>1905</v>
      </c>
      <c r="Z486" s="23" t="s">
        <v>167</v>
      </c>
      <c r="AD486" s="23" t="s">
        <v>1487</v>
      </c>
      <c r="AE486" s="23" t="s">
        <v>475</v>
      </c>
      <c r="AF486" s="152" t="s">
        <v>666</v>
      </c>
      <c r="AG486" s="23" t="s">
        <v>160</v>
      </c>
      <c r="AH486" s="155" t="s">
        <v>160</v>
      </c>
      <c r="AL486" s="23" t="s">
        <v>473</v>
      </c>
      <c r="AM486" s="23" t="s">
        <v>473</v>
      </c>
      <c r="AN486" s="23" t="s">
        <v>212</v>
      </c>
      <c r="AO486" s="23">
        <v>0</v>
      </c>
      <c r="AP486" s="23">
        <v>0</v>
      </c>
      <c r="AQ486" s="23" t="s">
        <v>212</v>
      </c>
      <c r="AR486" s="23" t="s">
        <v>192</v>
      </c>
      <c r="AS486" s="23">
        <v>4</v>
      </c>
      <c r="AT486" s="23">
        <v>4</v>
      </c>
      <c r="AU486" s="23" t="s">
        <v>379</v>
      </c>
      <c r="AW486" s="23">
        <f t="shared" ref="AW486" si="109">(6.4+1.9)*1000</f>
        <v>8300</v>
      </c>
      <c r="AX486" s="23">
        <f t="shared" ref="AX486" si="110">AW486/(110+27)</f>
        <v>60.583941605839414</v>
      </c>
      <c r="AY486" s="64" t="s">
        <v>485</v>
      </c>
      <c r="BM486" s="23">
        <v>3.157</v>
      </c>
      <c r="BN486" s="23">
        <v>4.87</v>
      </c>
      <c r="BO486" s="23" t="s">
        <v>484</v>
      </c>
      <c r="EJ486" s="12"/>
      <c r="EL486" s="15"/>
      <c r="FR486" s="23" t="s">
        <v>487</v>
      </c>
      <c r="FS486" s="23" t="s">
        <v>808</v>
      </c>
      <c r="FT486" s="23">
        <v>26</v>
      </c>
    </row>
    <row r="487" spans="1:176" s="23" customFormat="1" x14ac:dyDescent="0.25">
      <c r="A487" s="23">
        <v>26</v>
      </c>
      <c r="B487" s="23" t="s">
        <v>469</v>
      </c>
      <c r="C487" s="23" t="s">
        <v>470</v>
      </c>
      <c r="D487" s="23">
        <v>2015</v>
      </c>
      <c r="E487" s="23">
        <v>2012</v>
      </c>
      <c r="F487" s="23" t="s">
        <v>336</v>
      </c>
      <c r="G487" s="23" t="s">
        <v>472</v>
      </c>
      <c r="H487" s="23">
        <f t="shared" si="99"/>
        <v>35.22</v>
      </c>
      <c r="I487" s="23">
        <f t="shared" si="100"/>
        <v>-77.650000000000006</v>
      </c>
      <c r="J487" s="23">
        <v>22.4</v>
      </c>
      <c r="P487" s="53">
        <v>1</v>
      </c>
      <c r="Q487" s="53"/>
      <c r="R487" s="53" t="s">
        <v>478</v>
      </c>
      <c r="S487" s="53" t="s">
        <v>1558</v>
      </c>
      <c r="T487" s="53" t="s">
        <v>1558</v>
      </c>
      <c r="U487" s="53" t="s">
        <v>1558</v>
      </c>
      <c r="V487" s="53" t="s">
        <v>1905</v>
      </c>
      <c r="Z487" s="23" t="s">
        <v>167</v>
      </c>
      <c r="AD487" s="23" t="s">
        <v>1487</v>
      </c>
      <c r="AE487" s="23" t="s">
        <v>281</v>
      </c>
      <c r="AF487" s="152" t="s">
        <v>666</v>
      </c>
      <c r="AG487" s="23" t="s">
        <v>160</v>
      </c>
      <c r="AH487" s="155" t="s">
        <v>160</v>
      </c>
      <c r="AL487" s="23" t="s">
        <v>473</v>
      </c>
      <c r="AM487" s="23" t="s">
        <v>473</v>
      </c>
      <c r="AN487" s="23" t="s">
        <v>212</v>
      </c>
      <c r="AO487" s="23">
        <v>0</v>
      </c>
      <c r="AP487" s="23">
        <v>0</v>
      </c>
      <c r="AQ487" s="23" t="s">
        <v>212</v>
      </c>
      <c r="AR487" s="23" t="s">
        <v>192</v>
      </c>
      <c r="AS487" s="23">
        <v>4</v>
      </c>
      <c r="AT487" s="23">
        <v>4</v>
      </c>
      <c r="AU487" s="23" t="s">
        <v>379</v>
      </c>
      <c r="AW487" s="23">
        <f t="shared" ref="AW487" si="111">(6.5+1.8)*1000</f>
        <v>8300</v>
      </c>
      <c r="AX487" s="23">
        <f t="shared" ref="AX487" si="112">AW487/(175+47)</f>
        <v>37.387387387387385</v>
      </c>
      <c r="AY487" s="64" t="s">
        <v>485</v>
      </c>
      <c r="BM487" s="23">
        <v>3.157</v>
      </c>
      <c r="BN487" s="23">
        <v>3.17</v>
      </c>
      <c r="BO487" s="23" t="s">
        <v>484</v>
      </c>
      <c r="EJ487" s="12"/>
      <c r="EL487" s="15"/>
      <c r="FR487" s="23" t="s">
        <v>487</v>
      </c>
      <c r="FS487" s="23" t="s">
        <v>808</v>
      </c>
      <c r="FT487" s="23">
        <v>26</v>
      </c>
    </row>
    <row r="488" spans="1:176" s="23" customFormat="1" x14ac:dyDescent="0.25">
      <c r="A488" s="23">
        <v>26</v>
      </c>
      <c r="B488" s="23" t="s">
        <v>469</v>
      </c>
      <c r="C488" s="23" t="s">
        <v>470</v>
      </c>
      <c r="D488" s="23">
        <v>2015</v>
      </c>
      <c r="E488" s="23">
        <v>2012</v>
      </c>
      <c r="F488" s="23" t="s">
        <v>336</v>
      </c>
      <c r="G488" s="23" t="s">
        <v>472</v>
      </c>
      <c r="H488" s="23">
        <f t="shared" si="99"/>
        <v>35.22</v>
      </c>
      <c r="I488" s="23">
        <f t="shared" si="100"/>
        <v>-77.650000000000006</v>
      </c>
      <c r="J488" s="23">
        <v>22.4</v>
      </c>
      <c r="P488" s="53">
        <v>1</v>
      </c>
      <c r="Q488" s="53"/>
      <c r="R488" s="53" t="s">
        <v>479</v>
      </c>
      <c r="S488" s="53" t="s">
        <v>1558</v>
      </c>
      <c r="T488" s="53" t="s">
        <v>1558</v>
      </c>
      <c r="U488" s="53" t="s">
        <v>1558</v>
      </c>
      <c r="V488" s="53" t="s">
        <v>1905</v>
      </c>
      <c r="Z488" s="23" t="s">
        <v>167</v>
      </c>
      <c r="AD488" s="23" t="s">
        <v>1487</v>
      </c>
      <c r="AE488" s="23" t="s">
        <v>474</v>
      </c>
      <c r="AF488" s="152" t="s">
        <v>666</v>
      </c>
      <c r="AG488" s="23" t="s">
        <v>160</v>
      </c>
      <c r="AH488" s="155" t="s">
        <v>160</v>
      </c>
      <c r="AL488" s="23" t="s">
        <v>473</v>
      </c>
      <c r="AM488" s="23" t="s">
        <v>473</v>
      </c>
      <c r="AN488" s="23" t="s">
        <v>212</v>
      </c>
      <c r="AO488" s="23">
        <v>0</v>
      </c>
      <c r="AP488" s="23">
        <v>0</v>
      </c>
      <c r="AQ488" s="23" t="s">
        <v>212</v>
      </c>
      <c r="AR488" s="23" t="s">
        <v>192</v>
      </c>
      <c r="AS488" s="23">
        <v>4</v>
      </c>
      <c r="AT488" s="23">
        <v>4</v>
      </c>
      <c r="AU488" s="23" t="s">
        <v>379</v>
      </c>
      <c r="AW488" s="23">
        <f t="shared" ref="AW488" si="113">(6.1+1.6)*1000</f>
        <v>7699.9999999999991</v>
      </c>
      <c r="AX488" s="23">
        <f t="shared" ref="AX488" si="114">AW488/(170+36)</f>
        <v>37.378640776699022</v>
      </c>
      <c r="AY488" s="64" t="s">
        <v>485</v>
      </c>
      <c r="BM488" s="23">
        <v>4.9400000000000004</v>
      </c>
      <c r="BN488" s="23">
        <v>3.5649999999999999</v>
      </c>
      <c r="BO488" s="23" t="s">
        <v>484</v>
      </c>
      <c r="EJ488" s="12"/>
      <c r="EL488" s="15"/>
      <c r="FR488" s="23" t="s">
        <v>487</v>
      </c>
      <c r="FS488" s="23" t="s">
        <v>808</v>
      </c>
      <c r="FT488" s="23">
        <v>26</v>
      </c>
    </row>
    <row r="489" spans="1:176" s="23" customFormat="1" x14ac:dyDescent="0.25">
      <c r="A489" s="23">
        <v>26</v>
      </c>
      <c r="B489" s="23" t="s">
        <v>469</v>
      </c>
      <c r="C489" s="23" t="s">
        <v>470</v>
      </c>
      <c r="D489" s="23">
        <v>2015</v>
      </c>
      <c r="E489" s="23">
        <v>2012</v>
      </c>
      <c r="F489" s="23" t="s">
        <v>336</v>
      </c>
      <c r="G489" s="23" t="s">
        <v>472</v>
      </c>
      <c r="H489" s="23">
        <f t="shared" si="99"/>
        <v>35.22</v>
      </c>
      <c r="I489" s="23">
        <f t="shared" si="100"/>
        <v>-77.650000000000006</v>
      </c>
      <c r="J489" s="23">
        <v>22.4</v>
      </c>
      <c r="P489" s="53">
        <v>1</v>
      </c>
      <c r="Q489" s="53"/>
      <c r="R489" s="53" t="s">
        <v>479</v>
      </c>
      <c r="S489" s="53" t="s">
        <v>1558</v>
      </c>
      <c r="T489" s="53" t="s">
        <v>1558</v>
      </c>
      <c r="U489" s="53" t="s">
        <v>1558</v>
      </c>
      <c r="V489" s="53" t="s">
        <v>1905</v>
      </c>
      <c r="Z489" s="23" t="s">
        <v>167</v>
      </c>
      <c r="AD489" s="23" t="s">
        <v>1487</v>
      </c>
      <c r="AE489" s="23" t="s">
        <v>475</v>
      </c>
      <c r="AF489" s="152" t="s">
        <v>666</v>
      </c>
      <c r="AG489" s="23" t="s">
        <v>160</v>
      </c>
      <c r="AH489" s="155" t="s">
        <v>160</v>
      </c>
      <c r="AL489" s="23" t="s">
        <v>473</v>
      </c>
      <c r="AM489" s="23" t="s">
        <v>473</v>
      </c>
      <c r="AN489" s="23" t="s">
        <v>212</v>
      </c>
      <c r="AO489" s="23">
        <v>0</v>
      </c>
      <c r="AP489" s="23">
        <v>0</v>
      </c>
      <c r="AQ489" s="23" t="s">
        <v>212</v>
      </c>
      <c r="AR489" s="23" t="s">
        <v>192</v>
      </c>
      <c r="AS489" s="23">
        <v>4</v>
      </c>
      <c r="AT489" s="23">
        <v>4</v>
      </c>
      <c r="AU489" s="23" t="s">
        <v>379</v>
      </c>
      <c r="AW489" s="23">
        <f t="shared" ref="AW489" si="115">(6.4+1.9)*1000</f>
        <v>8300</v>
      </c>
      <c r="AX489" s="23">
        <f t="shared" ref="AX489" si="116">AW489/(110+27)</f>
        <v>60.583941605839414</v>
      </c>
      <c r="AY489" s="64" t="s">
        <v>485</v>
      </c>
      <c r="BM489" s="23">
        <v>4.9400000000000004</v>
      </c>
      <c r="BN489" s="23">
        <v>3.5649999999999999</v>
      </c>
      <c r="BO489" s="23" t="s">
        <v>484</v>
      </c>
      <c r="EJ489" s="12"/>
      <c r="EL489" s="15"/>
      <c r="FR489" s="23" t="s">
        <v>487</v>
      </c>
      <c r="FS489" s="23" t="s">
        <v>808</v>
      </c>
      <c r="FT489" s="23">
        <v>26</v>
      </c>
    </row>
    <row r="490" spans="1:176" s="23" customFormat="1" x14ac:dyDescent="0.25">
      <c r="A490" s="23">
        <v>26</v>
      </c>
      <c r="B490" s="23" t="s">
        <v>469</v>
      </c>
      <c r="C490" s="23" t="s">
        <v>470</v>
      </c>
      <c r="D490" s="23">
        <v>2015</v>
      </c>
      <c r="E490" s="23">
        <v>2012</v>
      </c>
      <c r="F490" s="23" t="s">
        <v>336</v>
      </c>
      <c r="G490" s="23" t="s">
        <v>472</v>
      </c>
      <c r="H490" s="23">
        <f t="shared" si="99"/>
        <v>35.22</v>
      </c>
      <c r="I490" s="23">
        <f t="shared" si="100"/>
        <v>-77.650000000000006</v>
      </c>
      <c r="J490" s="23">
        <v>22.4</v>
      </c>
      <c r="P490" s="53">
        <v>1</v>
      </c>
      <c r="Q490" s="53"/>
      <c r="R490" s="53" t="s">
        <v>479</v>
      </c>
      <c r="S490" s="53" t="s">
        <v>1558</v>
      </c>
      <c r="T490" s="53" t="s">
        <v>1558</v>
      </c>
      <c r="U490" s="53" t="s">
        <v>1558</v>
      </c>
      <c r="V490" s="53" t="s">
        <v>1905</v>
      </c>
      <c r="Z490" s="23" t="s">
        <v>167</v>
      </c>
      <c r="AD490" s="23" t="s">
        <v>1487</v>
      </c>
      <c r="AE490" s="23" t="s">
        <v>281</v>
      </c>
      <c r="AF490" s="152" t="s">
        <v>666</v>
      </c>
      <c r="AG490" s="23" t="s">
        <v>160</v>
      </c>
      <c r="AH490" s="155" t="s">
        <v>160</v>
      </c>
      <c r="AL490" s="23" t="s">
        <v>473</v>
      </c>
      <c r="AM490" s="23" t="s">
        <v>473</v>
      </c>
      <c r="AN490" s="23" t="s">
        <v>212</v>
      </c>
      <c r="AO490" s="23">
        <v>0</v>
      </c>
      <c r="AP490" s="23">
        <v>0</v>
      </c>
      <c r="AQ490" s="23" t="s">
        <v>212</v>
      </c>
      <c r="AR490" s="23" t="s">
        <v>192</v>
      </c>
      <c r="AS490" s="23">
        <v>4</v>
      </c>
      <c r="AT490" s="23">
        <v>4</v>
      </c>
      <c r="AU490" s="23" t="s">
        <v>379</v>
      </c>
      <c r="AW490" s="23">
        <f t="shared" ref="AW490" si="117">(6.5+1.8)*1000</f>
        <v>8300</v>
      </c>
      <c r="AX490" s="23">
        <f t="shared" ref="AX490" si="118">AW490/(175+47)</f>
        <v>37.387387387387385</v>
      </c>
      <c r="AY490" s="64" t="s">
        <v>485</v>
      </c>
      <c r="BM490" s="23">
        <v>4.9400000000000004</v>
      </c>
      <c r="BN490" s="23">
        <v>3.5649999999999999</v>
      </c>
      <c r="BO490" s="23" t="s">
        <v>484</v>
      </c>
      <c r="EJ490" s="12"/>
      <c r="EL490" s="15"/>
      <c r="FR490" s="23" t="s">
        <v>487</v>
      </c>
      <c r="FS490" s="23" t="s">
        <v>808</v>
      </c>
      <c r="FT490" s="23">
        <v>26</v>
      </c>
    </row>
    <row r="491" spans="1:176" s="23" customFormat="1" x14ac:dyDescent="0.25">
      <c r="A491" s="23">
        <v>26</v>
      </c>
      <c r="B491" s="23" t="s">
        <v>469</v>
      </c>
      <c r="C491" s="23" t="s">
        <v>470</v>
      </c>
      <c r="D491" s="23">
        <v>2015</v>
      </c>
      <c r="E491" s="23">
        <v>2012</v>
      </c>
      <c r="F491" s="23" t="s">
        <v>336</v>
      </c>
      <c r="G491" s="23" t="s">
        <v>472</v>
      </c>
      <c r="H491" s="23">
        <f t="shared" si="99"/>
        <v>35.22</v>
      </c>
      <c r="I491" s="23">
        <f t="shared" si="100"/>
        <v>-77.650000000000006</v>
      </c>
      <c r="J491" s="23">
        <v>22.4</v>
      </c>
      <c r="P491" s="53">
        <v>1</v>
      </c>
      <c r="Q491" s="53"/>
      <c r="R491" s="53" t="s">
        <v>480</v>
      </c>
      <c r="S491" s="53" t="s">
        <v>1558</v>
      </c>
      <c r="T491" s="53" t="s">
        <v>1558</v>
      </c>
      <c r="U491" s="53" t="s">
        <v>1558</v>
      </c>
      <c r="V491" s="53" t="s">
        <v>1905</v>
      </c>
      <c r="Z491" s="23" t="s">
        <v>167</v>
      </c>
      <c r="AD491" s="23" t="s">
        <v>1487</v>
      </c>
      <c r="AE491" s="23" t="s">
        <v>474</v>
      </c>
      <c r="AF491" s="152" t="s">
        <v>666</v>
      </c>
      <c r="AG491" s="23" t="s">
        <v>160</v>
      </c>
      <c r="AH491" s="155" t="s">
        <v>160</v>
      </c>
      <c r="AL491" s="23" t="s">
        <v>473</v>
      </c>
      <c r="AM491" s="23" t="s">
        <v>473</v>
      </c>
      <c r="AN491" s="23" t="s">
        <v>212</v>
      </c>
      <c r="AO491" s="23">
        <v>0</v>
      </c>
      <c r="AP491" s="23">
        <v>0</v>
      </c>
      <c r="AQ491" s="23" t="s">
        <v>212</v>
      </c>
      <c r="AR491" s="23" t="s">
        <v>192</v>
      </c>
      <c r="AS491" s="23">
        <v>4</v>
      </c>
      <c r="AT491" s="23">
        <v>4</v>
      </c>
      <c r="AU491" s="23" t="s">
        <v>379</v>
      </c>
      <c r="AW491" s="23">
        <f t="shared" ref="AW491" si="119">(6.1+1.6)*1000</f>
        <v>7699.9999999999991</v>
      </c>
      <c r="AX491" s="23">
        <f t="shared" ref="AX491" si="120">AW491/(170+36)</f>
        <v>37.378640776699022</v>
      </c>
      <c r="AY491" s="64" t="s">
        <v>485</v>
      </c>
      <c r="BM491" s="23">
        <v>5.42</v>
      </c>
      <c r="BN491" s="23">
        <v>5.4</v>
      </c>
      <c r="BO491" s="23" t="s">
        <v>484</v>
      </c>
      <c r="EJ491" s="12"/>
      <c r="EL491" s="15"/>
      <c r="FR491" s="23" t="s">
        <v>487</v>
      </c>
      <c r="FS491" s="23" t="s">
        <v>808</v>
      </c>
      <c r="FT491" s="23">
        <v>26</v>
      </c>
    </row>
    <row r="492" spans="1:176" s="23" customFormat="1" x14ac:dyDescent="0.25">
      <c r="A492" s="23">
        <v>26</v>
      </c>
      <c r="B492" s="23" t="s">
        <v>469</v>
      </c>
      <c r="C492" s="23" t="s">
        <v>470</v>
      </c>
      <c r="D492" s="23">
        <v>2015</v>
      </c>
      <c r="E492" s="23">
        <v>2012</v>
      </c>
      <c r="F492" s="23" t="s">
        <v>336</v>
      </c>
      <c r="G492" s="23" t="s">
        <v>472</v>
      </c>
      <c r="H492" s="23">
        <f t="shared" si="99"/>
        <v>35.22</v>
      </c>
      <c r="I492" s="23">
        <f t="shared" si="100"/>
        <v>-77.650000000000006</v>
      </c>
      <c r="J492" s="23">
        <v>22.4</v>
      </c>
      <c r="P492" s="53">
        <v>1</v>
      </c>
      <c r="Q492" s="53"/>
      <c r="R492" s="53" t="s">
        <v>480</v>
      </c>
      <c r="S492" s="53" t="s">
        <v>1558</v>
      </c>
      <c r="T492" s="53" t="s">
        <v>1558</v>
      </c>
      <c r="U492" s="53" t="s">
        <v>1558</v>
      </c>
      <c r="V492" s="53" t="s">
        <v>1905</v>
      </c>
      <c r="Z492" s="23" t="s">
        <v>167</v>
      </c>
      <c r="AD492" s="23" t="s">
        <v>1487</v>
      </c>
      <c r="AE492" s="23" t="s">
        <v>475</v>
      </c>
      <c r="AF492" s="152" t="s">
        <v>666</v>
      </c>
      <c r="AG492" s="23" t="s">
        <v>160</v>
      </c>
      <c r="AH492" s="155" t="s">
        <v>160</v>
      </c>
      <c r="AL492" s="23" t="s">
        <v>473</v>
      </c>
      <c r="AM492" s="23" t="s">
        <v>473</v>
      </c>
      <c r="AN492" s="23" t="s">
        <v>212</v>
      </c>
      <c r="AO492" s="23">
        <v>0</v>
      </c>
      <c r="AP492" s="23">
        <v>0</v>
      </c>
      <c r="AQ492" s="23" t="s">
        <v>212</v>
      </c>
      <c r="AR492" s="23" t="s">
        <v>192</v>
      </c>
      <c r="AS492" s="23">
        <v>4</v>
      </c>
      <c r="AT492" s="23">
        <v>4</v>
      </c>
      <c r="AU492" s="23" t="s">
        <v>379</v>
      </c>
      <c r="AW492" s="23">
        <f t="shared" ref="AW492" si="121">(6.4+1.9)*1000</f>
        <v>8300</v>
      </c>
      <c r="AX492" s="23">
        <f t="shared" ref="AX492" si="122">AW492/(110+27)</f>
        <v>60.583941605839414</v>
      </c>
      <c r="AY492" s="64" t="s">
        <v>485</v>
      </c>
      <c r="BM492" s="23">
        <v>5.42</v>
      </c>
      <c r="BN492" s="23">
        <v>5.4</v>
      </c>
      <c r="BO492" s="23" t="s">
        <v>484</v>
      </c>
      <c r="EJ492" s="12"/>
      <c r="EL492" s="15"/>
      <c r="FR492" s="23" t="s">
        <v>487</v>
      </c>
      <c r="FS492" s="23" t="s">
        <v>808</v>
      </c>
      <c r="FT492" s="23">
        <v>26</v>
      </c>
    </row>
    <row r="493" spans="1:176" s="23" customFormat="1" x14ac:dyDescent="0.25">
      <c r="A493" s="23">
        <v>26</v>
      </c>
      <c r="B493" s="23" t="s">
        <v>469</v>
      </c>
      <c r="C493" s="23" t="s">
        <v>470</v>
      </c>
      <c r="D493" s="23">
        <v>2015</v>
      </c>
      <c r="E493" s="23">
        <v>2012</v>
      </c>
      <c r="F493" s="23" t="s">
        <v>336</v>
      </c>
      <c r="G493" s="23" t="s">
        <v>472</v>
      </c>
      <c r="H493" s="23">
        <f t="shared" si="99"/>
        <v>35.22</v>
      </c>
      <c r="I493" s="23">
        <f t="shared" si="100"/>
        <v>-77.650000000000006</v>
      </c>
      <c r="J493" s="23">
        <v>22.4</v>
      </c>
      <c r="P493" s="53">
        <v>1</v>
      </c>
      <c r="Q493" s="53"/>
      <c r="R493" s="53" t="s">
        <v>480</v>
      </c>
      <c r="S493" s="53" t="s">
        <v>1558</v>
      </c>
      <c r="T493" s="53" t="s">
        <v>1558</v>
      </c>
      <c r="U493" s="53" t="s">
        <v>1558</v>
      </c>
      <c r="V493" s="53" t="s">
        <v>1905</v>
      </c>
      <c r="Z493" s="23" t="s">
        <v>167</v>
      </c>
      <c r="AD493" s="23" t="s">
        <v>1487</v>
      </c>
      <c r="AE493" s="23" t="s">
        <v>281</v>
      </c>
      <c r="AF493" s="152" t="s">
        <v>666</v>
      </c>
      <c r="AG493" s="23" t="s">
        <v>160</v>
      </c>
      <c r="AH493" s="155" t="s">
        <v>160</v>
      </c>
      <c r="AL493" s="23" t="s">
        <v>473</v>
      </c>
      <c r="AM493" s="23" t="s">
        <v>473</v>
      </c>
      <c r="AN493" s="23" t="s">
        <v>212</v>
      </c>
      <c r="AO493" s="23">
        <v>0</v>
      </c>
      <c r="AP493" s="23">
        <v>0</v>
      </c>
      <c r="AQ493" s="23" t="s">
        <v>212</v>
      </c>
      <c r="AR493" s="23" t="s">
        <v>192</v>
      </c>
      <c r="AS493" s="23">
        <v>4</v>
      </c>
      <c r="AT493" s="23">
        <v>4</v>
      </c>
      <c r="AU493" s="23" t="s">
        <v>379</v>
      </c>
      <c r="AW493" s="23">
        <f t="shared" ref="AW493" si="123">(6.5+1.8)*1000</f>
        <v>8300</v>
      </c>
      <c r="AX493" s="23">
        <f t="shared" ref="AX493" si="124">AW493/(175+47)</f>
        <v>37.387387387387385</v>
      </c>
      <c r="AY493" s="64" t="s">
        <v>485</v>
      </c>
      <c r="BM493" s="23">
        <v>5.42</v>
      </c>
      <c r="BN493" s="23">
        <v>5.4</v>
      </c>
      <c r="BO493" s="23" t="s">
        <v>484</v>
      </c>
      <c r="EJ493" s="12"/>
      <c r="EL493" s="15"/>
      <c r="FR493" s="23" t="s">
        <v>487</v>
      </c>
      <c r="FS493" s="23" t="s">
        <v>808</v>
      </c>
      <c r="FT493" s="23">
        <v>26</v>
      </c>
    </row>
    <row r="494" spans="1:176" s="23" customFormat="1" x14ac:dyDescent="0.25">
      <c r="A494" s="23">
        <v>26</v>
      </c>
      <c r="B494" s="23" t="s">
        <v>469</v>
      </c>
      <c r="C494" s="23" t="s">
        <v>470</v>
      </c>
      <c r="D494" s="23">
        <v>2015</v>
      </c>
      <c r="E494" s="23">
        <v>2012</v>
      </c>
      <c r="F494" s="23" t="s">
        <v>336</v>
      </c>
      <c r="G494" s="23" t="s">
        <v>472</v>
      </c>
      <c r="H494" s="23">
        <f t="shared" si="99"/>
        <v>35.22</v>
      </c>
      <c r="I494" s="23">
        <f t="shared" si="100"/>
        <v>-77.650000000000006</v>
      </c>
      <c r="J494" s="23">
        <v>22.4</v>
      </c>
      <c r="P494" s="53">
        <v>1</v>
      </c>
      <c r="Q494" s="53"/>
      <c r="R494" s="53" t="s">
        <v>481</v>
      </c>
      <c r="S494" s="53" t="s">
        <v>1558</v>
      </c>
      <c r="T494" s="53" t="s">
        <v>1558</v>
      </c>
      <c r="U494" s="53" t="s">
        <v>1558</v>
      </c>
      <c r="V494" s="53" t="s">
        <v>1905</v>
      </c>
      <c r="Z494" s="23" t="s">
        <v>167</v>
      </c>
      <c r="AD494" s="23" t="s">
        <v>1487</v>
      </c>
      <c r="AE494" s="23" t="s">
        <v>474</v>
      </c>
      <c r="AF494" s="152" t="s">
        <v>666</v>
      </c>
      <c r="AG494" s="23" t="s">
        <v>160</v>
      </c>
      <c r="AH494" s="155" t="s">
        <v>160</v>
      </c>
      <c r="AL494" s="23" t="s">
        <v>473</v>
      </c>
      <c r="AM494" s="23" t="s">
        <v>473</v>
      </c>
      <c r="AN494" s="23" t="s">
        <v>212</v>
      </c>
      <c r="AO494" s="23">
        <v>0</v>
      </c>
      <c r="AP494" s="23">
        <v>0</v>
      </c>
      <c r="AQ494" s="23" t="s">
        <v>212</v>
      </c>
      <c r="AR494" s="23" t="s">
        <v>192</v>
      </c>
      <c r="AS494" s="23">
        <v>4</v>
      </c>
      <c r="AT494" s="23">
        <v>4</v>
      </c>
      <c r="AU494" s="23" t="s">
        <v>379</v>
      </c>
      <c r="AW494" s="23">
        <f t="shared" ref="AW494" si="125">(6.1+1.6)*1000</f>
        <v>7699.9999999999991</v>
      </c>
      <c r="AX494" s="23">
        <f t="shared" ref="AX494" si="126">AW494/(170+36)</f>
        <v>37.378640776699022</v>
      </c>
      <c r="AY494" s="64" t="s">
        <v>485</v>
      </c>
      <c r="BM494" s="23">
        <v>1.9770000000000001</v>
      </c>
      <c r="BN494" s="23">
        <v>3.69</v>
      </c>
      <c r="BO494" s="23" t="s">
        <v>484</v>
      </c>
      <c r="EJ494" s="12"/>
      <c r="EL494" s="15"/>
      <c r="FR494" s="23" t="s">
        <v>487</v>
      </c>
      <c r="FS494" s="23" t="s">
        <v>808</v>
      </c>
      <c r="FT494" s="23">
        <v>26</v>
      </c>
    </row>
    <row r="495" spans="1:176" s="23" customFormat="1" x14ac:dyDescent="0.25">
      <c r="A495" s="23">
        <v>26</v>
      </c>
      <c r="B495" s="23" t="s">
        <v>469</v>
      </c>
      <c r="C495" s="23" t="s">
        <v>470</v>
      </c>
      <c r="D495" s="23">
        <v>2015</v>
      </c>
      <c r="E495" s="23">
        <v>2012</v>
      </c>
      <c r="F495" s="23" t="s">
        <v>336</v>
      </c>
      <c r="G495" s="23" t="s">
        <v>472</v>
      </c>
      <c r="H495" s="23">
        <f t="shared" si="99"/>
        <v>35.22</v>
      </c>
      <c r="I495" s="23">
        <f t="shared" si="100"/>
        <v>-77.650000000000006</v>
      </c>
      <c r="J495" s="23">
        <v>22.4</v>
      </c>
      <c r="P495" s="53">
        <v>1</v>
      </c>
      <c r="Q495" s="53"/>
      <c r="R495" s="53" t="s">
        <v>481</v>
      </c>
      <c r="S495" s="53" t="s">
        <v>1558</v>
      </c>
      <c r="T495" s="53" t="s">
        <v>1558</v>
      </c>
      <c r="U495" s="53" t="s">
        <v>1558</v>
      </c>
      <c r="V495" s="53" t="s">
        <v>1905</v>
      </c>
      <c r="Z495" s="23" t="s">
        <v>167</v>
      </c>
      <c r="AD495" s="23" t="s">
        <v>1487</v>
      </c>
      <c r="AE495" s="23" t="s">
        <v>475</v>
      </c>
      <c r="AF495" s="152" t="s">
        <v>666</v>
      </c>
      <c r="AG495" s="23" t="s">
        <v>160</v>
      </c>
      <c r="AH495" s="155" t="s">
        <v>160</v>
      </c>
      <c r="AL495" s="23" t="s">
        <v>473</v>
      </c>
      <c r="AM495" s="23" t="s">
        <v>473</v>
      </c>
      <c r="AN495" s="23" t="s">
        <v>212</v>
      </c>
      <c r="AO495" s="23">
        <v>0</v>
      </c>
      <c r="AP495" s="23">
        <v>0</v>
      </c>
      <c r="AQ495" s="23" t="s">
        <v>212</v>
      </c>
      <c r="AR495" s="23" t="s">
        <v>192</v>
      </c>
      <c r="AS495" s="23">
        <v>4</v>
      </c>
      <c r="AT495" s="23">
        <v>4</v>
      </c>
      <c r="AU495" s="23" t="s">
        <v>379</v>
      </c>
      <c r="AW495" s="23">
        <f t="shared" ref="AW495" si="127">(6.4+1.9)*1000</f>
        <v>8300</v>
      </c>
      <c r="AX495" s="23">
        <f t="shared" ref="AX495" si="128">AW495/(110+27)</f>
        <v>60.583941605839414</v>
      </c>
      <c r="AY495" s="64" t="s">
        <v>485</v>
      </c>
      <c r="BM495" s="23">
        <v>1.9770000000000001</v>
      </c>
      <c r="BN495" s="23">
        <v>3.69</v>
      </c>
      <c r="BO495" s="23" t="s">
        <v>484</v>
      </c>
      <c r="EJ495" s="12"/>
      <c r="EL495" s="15"/>
      <c r="FR495" s="23" t="s">
        <v>487</v>
      </c>
      <c r="FS495" s="23" t="s">
        <v>808</v>
      </c>
      <c r="FT495" s="23">
        <v>26</v>
      </c>
    </row>
    <row r="496" spans="1:176" s="23" customFormat="1" x14ac:dyDescent="0.25">
      <c r="A496" s="23">
        <v>26</v>
      </c>
      <c r="B496" s="23" t="s">
        <v>469</v>
      </c>
      <c r="C496" s="23" t="s">
        <v>470</v>
      </c>
      <c r="D496" s="23">
        <v>2015</v>
      </c>
      <c r="E496" s="23">
        <v>2012</v>
      </c>
      <c r="F496" s="23" t="s">
        <v>336</v>
      </c>
      <c r="G496" s="23" t="s">
        <v>472</v>
      </c>
      <c r="H496" s="23">
        <f t="shared" si="99"/>
        <v>35.22</v>
      </c>
      <c r="I496" s="23">
        <f t="shared" si="100"/>
        <v>-77.650000000000006</v>
      </c>
      <c r="J496" s="23">
        <v>22.4</v>
      </c>
      <c r="P496" s="53">
        <v>1</v>
      </c>
      <c r="Q496" s="53"/>
      <c r="R496" s="53" t="s">
        <v>481</v>
      </c>
      <c r="S496" s="53" t="s">
        <v>1558</v>
      </c>
      <c r="T496" s="53" t="s">
        <v>1558</v>
      </c>
      <c r="U496" s="53" t="s">
        <v>1558</v>
      </c>
      <c r="V496" s="53" t="s">
        <v>1905</v>
      </c>
      <c r="Z496" s="23" t="s">
        <v>167</v>
      </c>
      <c r="AD496" s="23" t="s">
        <v>1487</v>
      </c>
      <c r="AE496" s="23" t="s">
        <v>281</v>
      </c>
      <c r="AF496" s="152" t="s">
        <v>666</v>
      </c>
      <c r="AG496" s="23" t="s">
        <v>160</v>
      </c>
      <c r="AH496" s="155" t="s">
        <v>160</v>
      </c>
      <c r="AL496" s="23" t="s">
        <v>473</v>
      </c>
      <c r="AM496" s="23" t="s">
        <v>473</v>
      </c>
      <c r="AN496" s="23" t="s">
        <v>212</v>
      </c>
      <c r="AO496" s="23">
        <v>0</v>
      </c>
      <c r="AP496" s="23">
        <v>0</v>
      </c>
      <c r="AQ496" s="23" t="s">
        <v>212</v>
      </c>
      <c r="AR496" s="23" t="s">
        <v>192</v>
      </c>
      <c r="AS496" s="23">
        <v>4</v>
      </c>
      <c r="AT496" s="23">
        <v>4</v>
      </c>
      <c r="AU496" s="23" t="s">
        <v>379</v>
      </c>
      <c r="AW496" s="23">
        <f t="shared" ref="AW496" si="129">(6.5+1.8)*1000</f>
        <v>8300</v>
      </c>
      <c r="AX496" s="23">
        <f t="shared" ref="AX496" si="130">AW496/(175+47)</f>
        <v>37.387387387387385</v>
      </c>
      <c r="AY496" s="64" t="s">
        <v>485</v>
      </c>
      <c r="BM496" s="23">
        <v>1.9770000000000001</v>
      </c>
      <c r="BN496" s="23">
        <v>3.69</v>
      </c>
      <c r="BO496" s="23" t="s">
        <v>484</v>
      </c>
      <c r="EJ496" s="12"/>
      <c r="EL496" s="15"/>
      <c r="FR496" s="23" t="s">
        <v>487</v>
      </c>
      <c r="FS496" s="23" t="s">
        <v>808</v>
      </c>
      <c r="FT496" s="23">
        <v>26</v>
      </c>
    </row>
    <row r="497" spans="1:176" s="23" customFormat="1" x14ac:dyDescent="0.25">
      <c r="A497" s="23">
        <v>26</v>
      </c>
      <c r="B497" s="23" t="s">
        <v>469</v>
      </c>
      <c r="C497" s="23" t="s">
        <v>470</v>
      </c>
      <c r="D497" s="23">
        <v>2015</v>
      </c>
      <c r="E497" s="23">
        <v>2012</v>
      </c>
      <c r="F497" s="23" t="s">
        <v>336</v>
      </c>
      <c r="G497" s="23" t="s">
        <v>472</v>
      </c>
      <c r="H497" s="23">
        <f t="shared" si="99"/>
        <v>35.22</v>
      </c>
      <c r="I497" s="23">
        <f t="shared" si="100"/>
        <v>-77.650000000000006</v>
      </c>
      <c r="J497" s="23">
        <v>22.4</v>
      </c>
      <c r="P497" s="53">
        <v>1</v>
      </c>
      <c r="Q497" s="53"/>
      <c r="R497" s="53" t="s">
        <v>482</v>
      </c>
      <c r="S497" s="53" t="s">
        <v>1558</v>
      </c>
      <c r="T497" s="53" t="s">
        <v>1558</v>
      </c>
      <c r="U497" s="53" t="s">
        <v>1558</v>
      </c>
      <c r="V497" s="53" t="s">
        <v>1905</v>
      </c>
      <c r="Z497" s="23" t="s">
        <v>167</v>
      </c>
      <c r="AD497" s="23" t="s">
        <v>1487</v>
      </c>
      <c r="AE497" s="23" t="s">
        <v>474</v>
      </c>
      <c r="AF497" s="152" t="s">
        <v>666</v>
      </c>
      <c r="AG497" s="23" t="s">
        <v>160</v>
      </c>
      <c r="AH497" s="155" t="s">
        <v>160</v>
      </c>
      <c r="AL497" s="23" t="s">
        <v>473</v>
      </c>
      <c r="AM497" s="23" t="s">
        <v>473</v>
      </c>
      <c r="AN497" s="23" t="s">
        <v>212</v>
      </c>
      <c r="AO497" s="23">
        <v>0</v>
      </c>
      <c r="AP497" s="23">
        <v>0</v>
      </c>
      <c r="AQ497" s="23" t="s">
        <v>212</v>
      </c>
      <c r="AR497" s="23" t="s">
        <v>192</v>
      </c>
      <c r="AS497" s="23">
        <v>4</v>
      </c>
      <c r="AT497" s="23">
        <v>4</v>
      </c>
      <c r="AU497" s="23" t="s">
        <v>379</v>
      </c>
      <c r="AW497" s="23">
        <f t="shared" ref="AW497" si="131">(6.1+1.6)*1000</f>
        <v>7699.9999999999991</v>
      </c>
      <c r="AX497" s="23">
        <f t="shared" ref="AX497" si="132">AW497/(170+36)</f>
        <v>37.378640776699022</v>
      </c>
      <c r="AY497" s="64" t="s">
        <v>485</v>
      </c>
      <c r="BM497" s="23">
        <v>4.3230000000000004</v>
      </c>
      <c r="BN497" s="23">
        <v>5.14</v>
      </c>
      <c r="BO497" s="23" t="s">
        <v>484</v>
      </c>
      <c r="EJ497" s="12"/>
      <c r="EL497" s="15"/>
      <c r="FR497" s="23" t="s">
        <v>487</v>
      </c>
      <c r="FS497" s="23" t="s">
        <v>808</v>
      </c>
      <c r="FT497" s="23">
        <v>26</v>
      </c>
    </row>
    <row r="498" spans="1:176" s="23" customFormat="1" x14ac:dyDescent="0.25">
      <c r="A498" s="23">
        <v>26</v>
      </c>
      <c r="B498" s="23" t="s">
        <v>469</v>
      </c>
      <c r="C498" s="23" t="s">
        <v>470</v>
      </c>
      <c r="D498" s="23">
        <v>2015</v>
      </c>
      <c r="E498" s="23">
        <v>2012</v>
      </c>
      <c r="F498" s="23" t="s">
        <v>336</v>
      </c>
      <c r="G498" s="23" t="s">
        <v>472</v>
      </c>
      <c r="H498" s="23">
        <f t="shared" si="99"/>
        <v>35.22</v>
      </c>
      <c r="I498" s="23">
        <f t="shared" si="100"/>
        <v>-77.650000000000006</v>
      </c>
      <c r="J498" s="23">
        <v>22.4</v>
      </c>
      <c r="P498" s="53">
        <v>1</v>
      </c>
      <c r="Q498" s="53"/>
      <c r="R498" s="53" t="s">
        <v>482</v>
      </c>
      <c r="S498" s="53" t="s">
        <v>1558</v>
      </c>
      <c r="T498" s="53" t="s">
        <v>1558</v>
      </c>
      <c r="U498" s="53" t="s">
        <v>1558</v>
      </c>
      <c r="V498" s="53" t="s">
        <v>1905</v>
      </c>
      <c r="Z498" s="23" t="s">
        <v>167</v>
      </c>
      <c r="AD498" s="23" t="s">
        <v>1487</v>
      </c>
      <c r="AE498" s="23" t="s">
        <v>475</v>
      </c>
      <c r="AF498" s="152" t="s">
        <v>666</v>
      </c>
      <c r="AG498" s="23" t="s">
        <v>160</v>
      </c>
      <c r="AH498" s="155" t="s">
        <v>160</v>
      </c>
      <c r="AL498" s="23" t="s">
        <v>473</v>
      </c>
      <c r="AM498" s="23" t="s">
        <v>473</v>
      </c>
      <c r="AN498" s="23" t="s">
        <v>212</v>
      </c>
      <c r="AO498" s="23">
        <v>0</v>
      </c>
      <c r="AP498" s="23">
        <v>0</v>
      </c>
      <c r="AQ498" s="23" t="s">
        <v>212</v>
      </c>
      <c r="AR498" s="23" t="s">
        <v>192</v>
      </c>
      <c r="AS498" s="23">
        <v>4</v>
      </c>
      <c r="AT498" s="23">
        <v>4</v>
      </c>
      <c r="AU498" s="23" t="s">
        <v>379</v>
      </c>
      <c r="AW498" s="23">
        <f t="shared" ref="AW498" si="133">(6.4+1.9)*1000</f>
        <v>8300</v>
      </c>
      <c r="AX498" s="23">
        <f t="shared" ref="AX498" si="134">AW498/(110+27)</f>
        <v>60.583941605839414</v>
      </c>
      <c r="AY498" s="64" t="s">
        <v>485</v>
      </c>
      <c r="BM498" s="23">
        <v>4.3230000000000004</v>
      </c>
      <c r="BN498" s="23">
        <v>4.32</v>
      </c>
      <c r="BO498" s="23" t="s">
        <v>484</v>
      </c>
      <c r="EJ498" s="12"/>
      <c r="EL498" s="15"/>
      <c r="FR498" s="23" t="s">
        <v>487</v>
      </c>
      <c r="FS498" s="23" t="s">
        <v>808</v>
      </c>
      <c r="FT498" s="23">
        <v>26</v>
      </c>
    </row>
    <row r="499" spans="1:176" s="23" customFormat="1" x14ac:dyDescent="0.25">
      <c r="A499" s="23">
        <v>26</v>
      </c>
      <c r="B499" s="23" t="s">
        <v>469</v>
      </c>
      <c r="C499" s="23" t="s">
        <v>470</v>
      </c>
      <c r="D499" s="23">
        <v>2015</v>
      </c>
      <c r="E499" s="23">
        <v>2012</v>
      </c>
      <c r="F499" s="23" t="s">
        <v>336</v>
      </c>
      <c r="G499" s="23" t="s">
        <v>472</v>
      </c>
      <c r="H499" s="23">
        <f t="shared" si="99"/>
        <v>35.22</v>
      </c>
      <c r="I499" s="23">
        <f t="shared" si="100"/>
        <v>-77.650000000000006</v>
      </c>
      <c r="J499" s="23">
        <v>22.4</v>
      </c>
      <c r="P499" s="53">
        <v>1</v>
      </c>
      <c r="Q499" s="53"/>
      <c r="R499" s="53" t="s">
        <v>482</v>
      </c>
      <c r="S499" s="53" t="s">
        <v>1558</v>
      </c>
      <c r="T499" s="53" t="s">
        <v>1558</v>
      </c>
      <c r="U499" s="53" t="s">
        <v>1558</v>
      </c>
      <c r="V499" s="53" t="s">
        <v>1905</v>
      </c>
      <c r="Z499" s="23" t="s">
        <v>167</v>
      </c>
      <c r="AD499" s="23" t="s">
        <v>1487</v>
      </c>
      <c r="AE499" s="23" t="s">
        <v>281</v>
      </c>
      <c r="AF499" s="152" t="s">
        <v>666</v>
      </c>
      <c r="AG499" s="23" t="s">
        <v>160</v>
      </c>
      <c r="AH499" s="155" t="s">
        <v>160</v>
      </c>
      <c r="AL499" s="23" t="s">
        <v>473</v>
      </c>
      <c r="AM499" s="23" t="s">
        <v>473</v>
      </c>
      <c r="AN499" s="23" t="s">
        <v>212</v>
      </c>
      <c r="AO499" s="23">
        <v>0</v>
      </c>
      <c r="AP499" s="23">
        <v>0</v>
      </c>
      <c r="AQ499" s="23" t="s">
        <v>212</v>
      </c>
      <c r="AR499" s="23" t="s">
        <v>192</v>
      </c>
      <c r="AS499" s="23">
        <v>4</v>
      </c>
      <c r="AT499" s="23">
        <v>4</v>
      </c>
      <c r="AU499" s="23" t="s">
        <v>379</v>
      </c>
      <c r="AW499" s="23">
        <f t="shared" ref="AW499" si="135">(6.5+1.8)*1000</f>
        <v>8300</v>
      </c>
      <c r="AX499" s="23">
        <f t="shared" ref="AX499" si="136">AW499/(175+47)</f>
        <v>37.387387387387385</v>
      </c>
      <c r="AY499" s="64" t="s">
        <v>485</v>
      </c>
      <c r="BM499" s="23">
        <v>4.3230000000000004</v>
      </c>
      <c r="BN499" s="23">
        <v>5.14</v>
      </c>
      <c r="BO499" s="23" t="s">
        <v>484</v>
      </c>
      <c r="EJ499" s="12"/>
      <c r="EL499" s="15"/>
      <c r="FR499" s="23" t="s">
        <v>487</v>
      </c>
      <c r="FS499" s="23" t="s">
        <v>808</v>
      </c>
      <c r="FT499" s="23">
        <v>26</v>
      </c>
    </row>
    <row r="500" spans="1:176" s="23" customFormat="1" x14ac:dyDescent="0.25">
      <c r="A500" s="23">
        <v>26</v>
      </c>
      <c r="B500" s="23" t="s">
        <v>469</v>
      </c>
      <c r="C500" s="23" t="s">
        <v>470</v>
      </c>
      <c r="D500" s="23">
        <v>2015</v>
      </c>
      <c r="E500" s="23">
        <v>2012</v>
      </c>
      <c r="F500" s="23" t="s">
        <v>336</v>
      </c>
      <c r="G500" s="23" t="s">
        <v>472</v>
      </c>
      <c r="H500" s="23">
        <f t="shared" si="99"/>
        <v>35.22</v>
      </c>
      <c r="I500" s="23">
        <f t="shared" si="100"/>
        <v>-77.650000000000006</v>
      </c>
      <c r="J500" s="23">
        <v>22.4</v>
      </c>
      <c r="P500" s="53">
        <v>1</v>
      </c>
      <c r="Q500" s="53"/>
      <c r="R500" s="53" t="s">
        <v>476</v>
      </c>
      <c r="S500" s="53" t="s">
        <v>1558</v>
      </c>
      <c r="T500" s="53" t="s">
        <v>1558</v>
      </c>
      <c r="U500" s="53" t="s">
        <v>1558</v>
      </c>
      <c r="V500" s="53" t="s">
        <v>1905</v>
      </c>
      <c r="Z500" s="23" t="s">
        <v>167</v>
      </c>
      <c r="AD500" s="23" t="s">
        <v>1487</v>
      </c>
      <c r="AE500" s="23" t="s">
        <v>474</v>
      </c>
      <c r="AF500" s="152" t="s">
        <v>666</v>
      </c>
      <c r="AG500" s="23" t="s">
        <v>160</v>
      </c>
      <c r="AH500" s="155" t="s">
        <v>160</v>
      </c>
      <c r="AL500" s="23" t="s">
        <v>483</v>
      </c>
      <c r="AM500" s="23" t="s">
        <v>483</v>
      </c>
      <c r="AN500" s="23" t="s">
        <v>212</v>
      </c>
      <c r="AO500" s="23">
        <v>0</v>
      </c>
      <c r="AP500" s="23">
        <v>0</v>
      </c>
      <c r="AQ500" s="23" t="s">
        <v>212</v>
      </c>
      <c r="AR500" s="23" t="s">
        <v>192</v>
      </c>
      <c r="AS500" s="23">
        <v>4</v>
      </c>
      <c r="AT500" s="23">
        <v>4</v>
      </c>
      <c r="AU500" s="23" t="s">
        <v>379</v>
      </c>
      <c r="AW500" s="23">
        <f t="shared" ref="AW500" si="137">(6.1+1.6)*1000</f>
        <v>7699.9999999999991</v>
      </c>
      <c r="AX500" s="23">
        <f t="shared" ref="AX500" si="138">AW500/(170+36)</f>
        <v>37.378640776699022</v>
      </c>
      <c r="AY500" s="64" t="s">
        <v>486</v>
      </c>
      <c r="BM500" s="23">
        <v>4.133</v>
      </c>
      <c r="BN500" s="23">
        <v>6.9059999999999997</v>
      </c>
      <c r="BO500" s="23" t="s">
        <v>484</v>
      </c>
      <c r="EJ500" s="12"/>
      <c r="EL500" s="15"/>
      <c r="FR500" s="23" t="s">
        <v>487</v>
      </c>
      <c r="FS500" s="23" t="s">
        <v>808</v>
      </c>
      <c r="FT500" s="23">
        <v>26</v>
      </c>
    </row>
    <row r="501" spans="1:176" s="23" customFormat="1" x14ac:dyDescent="0.25">
      <c r="A501" s="23">
        <v>26</v>
      </c>
      <c r="B501" s="23" t="s">
        <v>469</v>
      </c>
      <c r="C501" s="23" t="s">
        <v>470</v>
      </c>
      <c r="D501" s="23">
        <v>2015</v>
      </c>
      <c r="E501" s="23">
        <v>2012</v>
      </c>
      <c r="F501" s="23" t="s">
        <v>336</v>
      </c>
      <c r="G501" s="23" t="s">
        <v>472</v>
      </c>
      <c r="H501" s="23">
        <f t="shared" si="99"/>
        <v>35.22</v>
      </c>
      <c r="I501" s="23">
        <f t="shared" si="100"/>
        <v>-77.650000000000006</v>
      </c>
      <c r="J501" s="23">
        <v>22.4</v>
      </c>
      <c r="P501" s="53">
        <v>1</v>
      </c>
      <c r="Q501" s="53"/>
      <c r="R501" s="53" t="s">
        <v>476</v>
      </c>
      <c r="S501" s="53" t="s">
        <v>1558</v>
      </c>
      <c r="T501" s="53" t="s">
        <v>1558</v>
      </c>
      <c r="U501" s="53" t="s">
        <v>1558</v>
      </c>
      <c r="V501" s="53" t="s">
        <v>1905</v>
      </c>
      <c r="Z501" s="23" t="s">
        <v>167</v>
      </c>
      <c r="AD501" s="23" t="s">
        <v>1487</v>
      </c>
      <c r="AE501" s="23" t="s">
        <v>475</v>
      </c>
      <c r="AF501" s="152" t="s">
        <v>666</v>
      </c>
      <c r="AG501" s="23" t="s">
        <v>160</v>
      </c>
      <c r="AH501" s="155" t="s">
        <v>160</v>
      </c>
      <c r="AL501" s="23" t="s">
        <v>483</v>
      </c>
      <c r="AM501" s="23" t="s">
        <v>483</v>
      </c>
      <c r="AN501" s="23" t="s">
        <v>212</v>
      </c>
      <c r="AO501" s="23">
        <v>0</v>
      </c>
      <c r="AP501" s="23">
        <v>0</v>
      </c>
      <c r="AQ501" s="23" t="s">
        <v>212</v>
      </c>
      <c r="AR501" s="23" t="s">
        <v>192</v>
      </c>
      <c r="AS501" s="23">
        <v>4</v>
      </c>
      <c r="AT501" s="23">
        <v>4</v>
      </c>
      <c r="AU501" s="23" t="s">
        <v>379</v>
      </c>
      <c r="AW501" s="23">
        <f t="shared" ref="AW501" si="139">(6.4+1.9)*1000</f>
        <v>8300</v>
      </c>
      <c r="AX501" s="23">
        <f t="shared" ref="AX501" si="140">AW501/(110+27)</f>
        <v>60.583941605839414</v>
      </c>
      <c r="AY501" s="64" t="s">
        <v>486</v>
      </c>
      <c r="BM501" s="23">
        <v>4.133</v>
      </c>
      <c r="BN501" s="23">
        <v>6.9059999999999997</v>
      </c>
      <c r="BO501" s="23" t="s">
        <v>484</v>
      </c>
      <c r="EJ501" s="12"/>
      <c r="EL501" s="15"/>
      <c r="FR501" s="23" t="s">
        <v>487</v>
      </c>
      <c r="FS501" s="23" t="s">
        <v>808</v>
      </c>
      <c r="FT501" s="23">
        <v>26</v>
      </c>
    </row>
    <row r="502" spans="1:176" s="23" customFormat="1" x14ac:dyDescent="0.25">
      <c r="A502" s="23">
        <v>26</v>
      </c>
      <c r="B502" s="23" t="s">
        <v>469</v>
      </c>
      <c r="C502" s="23" t="s">
        <v>470</v>
      </c>
      <c r="D502" s="23">
        <v>2015</v>
      </c>
      <c r="E502" s="23">
        <v>2012</v>
      </c>
      <c r="F502" s="23" t="s">
        <v>336</v>
      </c>
      <c r="G502" s="23" t="s">
        <v>472</v>
      </c>
      <c r="H502" s="23">
        <f t="shared" si="99"/>
        <v>35.22</v>
      </c>
      <c r="I502" s="23">
        <f t="shared" si="100"/>
        <v>-77.650000000000006</v>
      </c>
      <c r="J502" s="23">
        <v>22.4</v>
      </c>
      <c r="P502" s="53">
        <v>1</v>
      </c>
      <c r="Q502" s="53"/>
      <c r="R502" s="53" t="s">
        <v>476</v>
      </c>
      <c r="S502" s="53" t="s">
        <v>1558</v>
      </c>
      <c r="T502" s="53" t="s">
        <v>1558</v>
      </c>
      <c r="U502" s="53" t="s">
        <v>1558</v>
      </c>
      <c r="V502" s="53" t="s">
        <v>1905</v>
      </c>
      <c r="Z502" s="23" t="s">
        <v>167</v>
      </c>
      <c r="AD502" s="23" t="s">
        <v>1487</v>
      </c>
      <c r="AE502" s="23" t="s">
        <v>281</v>
      </c>
      <c r="AF502" s="152" t="s">
        <v>666</v>
      </c>
      <c r="AG502" s="23" t="s">
        <v>160</v>
      </c>
      <c r="AH502" s="155" t="s">
        <v>160</v>
      </c>
      <c r="AL502" s="23" t="s">
        <v>483</v>
      </c>
      <c r="AM502" s="23" t="s">
        <v>483</v>
      </c>
      <c r="AN502" s="23" t="s">
        <v>212</v>
      </c>
      <c r="AO502" s="23">
        <v>0</v>
      </c>
      <c r="AP502" s="23">
        <v>0</v>
      </c>
      <c r="AQ502" s="23" t="s">
        <v>212</v>
      </c>
      <c r="AR502" s="23" t="s">
        <v>192</v>
      </c>
      <c r="AS502" s="23">
        <v>4</v>
      </c>
      <c r="AT502" s="23">
        <v>4</v>
      </c>
      <c r="AU502" s="23" t="s">
        <v>379</v>
      </c>
      <c r="AW502" s="23">
        <f t="shared" ref="AW502" si="141">(6.5+1.8)*1000</f>
        <v>8300</v>
      </c>
      <c r="AX502" s="23">
        <f t="shared" ref="AX502" si="142">AW502/(175+47)</f>
        <v>37.387387387387385</v>
      </c>
      <c r="AY502" s="64" t="s">
        <v>486</v>
      </c>
      <c r="BM502" s="23">
        <v>4.133</v>
      </c>
      <c r="BN502" s="23">
        <v>6.9059999999999997</v>
      </c>
      <c r="BO502" s="23" t="s">
        <v>484</v>
      </c>
      <c r="EJ502" s="12"/>
      <c r="EL502" s="15"/>
      <c r="FR502" s="23" t="s">
        <v>487</v>
      </c>
      <c r="FS502" s="23" t="s">
        <v>808</v>
      </c>
      <c r="FT502" s="23">
        <v>26</v>
      </c>
    </row>
    <row r="503" spans="1:176" s="23" customFormat="1" x14ac:dyDescent="0.25">
      <c r="A503" s="23">
        <v>26</v>
      </c>
      <c r="B503" s="23" t="s">
        <v>469</v>
      </c>
      <c r="C503" s="23" t="s">
        <v>470</v>
      </c>
      <c r="D503" s="23">
        <v>2015</v>
      </c>
      <c r="E503" s="23">
        <v>2012</v>
      </c>
      <c r="F503" s="23" t="s">
        <v>336</v>
      </c>
      <c r="G503" s="23" t="s">
        <v>472</v>
      </c>
      <c r="H503" s="23">
        <f t="shared" si="99"/>
        <v>35.22</v>
      </c>
      <c r="I503" s="23">
        <f t="shared" si="100"/>
        <v>-77.650000000000006</v>
      </c>
      <c r="J503" s="23">
        <v>22.4</v>
      </c>
      <c r="P503" s="53">
        <v>1</v>
      </c>
      <c r="Q503" s="53"/>
      <c r="R503" s="53" t="s">
        <v>477</v>
      </c>
      <c r="S503" s="53" t="s">
        <v>1558</v>
      </c>
      <c r="T503" s="53" t="s">
        <v>1558</v>
      </c>
      <c r="U503" s="53" t="s">
        <v>1558</v>
      </c>
      <c r="V503" s="53" t="s">
        <v>1905</v>
      </c>
      <c r="Z503" s="23" t="s">
        <v>167</v>
      </c>
      <c r="AD503" s="23" t="s">
        <v>1487</v>
      </c>
      <c r="AE503" s="23" t="s">
        <v>474</v>
      </c>
      <c r="AF503" s="152" t="s">
        <v>666</v>
      </c>
      <c r="AG503" s="23" t="s">
        <v>160</v>
      </c>
      <c r="AH503" s="155" t="s">
        <v>160</v>
      </c>
      <c r="AL503" s="23" t="s">
        <v>483</v>
      </c>
      <c r="AM503" s="23" t="s">
        <v>483</v>
      </c>
      <c r="AN503" s="23" t="s">
        <v>212</v>
      </c>
      <c r="AO503" s="23">
        <v>0</v>
      </c>
      <c r="AP503" s="23">
        <v>0</v>
      </c>
      <c r="AQ503" s="23" t="s">
        <v>212</v>
      </c>
      <c r="AR503" s="23" t="s">
        <v>192</v>
      </c>
      <c r="AS503" s="23">
        <v>4</v>
      </c>
      <c r="AT503" s="23">
        <v>4</v>
      </c>
      <c r="AU503" s="23" t="s">
        <v>379</v>
      </c>
      <c r="AW503" s="23">
        <f t="shared" ref="AW503" si="143">(6.1+1.6)*1000</f>
        <v>7699.9999999999991</v>
      </c>
      <c r="AX503" s="23">
        <f t="shared" ref="AX503" si="144">AW503/(170+36)</f>
        <v>37.378640776699022</v>
      </c>
      <c r="AY503" s="64" t="s">
        <v>486</v>
      </c>
      <c r="BM503" s="23">
        <v>2.2469999999999999</v>
      </c>
      <c r="BN503" s="23">
        <v>3.8780000000000001</v>
      </c>
      <c r="BO503" s="23" t="s">
        <v>484</v>
      </c>
      <c r="EJ503" s="12"/>
      <c r="EL503" s="15"/>
      <c r="FR503" s="23" t="s">
        <v>487</v>
      </c>
      <c r="FS503" s="23" t="s">
        <v>808</v>
      </c>
      <c r="FT503" s="23">
        <v>26</v>
      </c>
    </row>
    <row r="504" spans="1:176" s="23" customFormat="1" x14ac:dyDescent="0.25">
      <c r="A504" s="23">
        <v>26</v>
      </c>
      <c r="B504" s="23" t="s">
        <v>469</v>
      </c>
      <c r="C504" s="23" t="s">
        <v>470</v>
      </c>
      <c r="D504" s="23">
        <v>2015</v>
      </c>
      <c r="E504" s="23">
        <v>2012</v>
      </c>
      <c r="F504" s="23" t="s">
        <v>336</v>
      </c>
      <c r="G504" s="23" t="s">
        <v>472</v>
      </c>
      <c r="H504" s="23">
        <f t="shared" si="99"/>
        <v>35.22</v>
      </c>
      <c r="I504" s="23">
        <f t="shared" si="100"/>
        <v>-77.650000000000006</v>
      </c>
      <c r="J504" s="23">
        <v>22.4</v>
      </c>
      <c r="P504" s="53">
        <v>1</v>
      </c>
      <c r="Q504" s="53"/>
      <c r="R504" s="53" t="s">
        <v>477</v>
      </c>
      <c r="S504" s="53" t="s">
        <v>1558</v>
      </c>
      <c r="T504" s="53" t="s">
        <v>1558</v>
      </c>
      <c r="U504" s="53" t="s">
        <v>1558</v>
      </c>
      <c r="V504" s="53" t="s">
        <v>1905</v>
      </c>
      <c r="Z504" s="23" t="s">
        <v>167</v>
      </c>
      <c r="AD504" s="23" t="s">
        <v>1487</v>
      </c>
      <c r="AE504" s="23" t="s">
        <v>475</v>
      </c>
      <c r="AF504" s="152" t="s">
        <v>666</v>
      </c>
      <c r="AG504" s="23" t="s">
        <v>160</v>
      </c>
      <c r="AH504" s="155" t="s">
        <v>160</v>
      </c>
      <c r="AL504" s="23" t="s">
        <v>483</v>
      </c>
      <c r="AM504" s="23" t="s">
        <v>483</v>
      </c>
      <c r="AN504" s="23" t="s">
        <v>212</v>
      </c>
      <c r="AO504" s="23">
        <v>0</v>
      </c>
      <c r="AP504" s="23">
        <v>0</v>
      </c>
      <c r="AQ504" s="23" t="s">
        <v>212</v>
      </c>
      <c r="AR504" s="23" t="s">
        <v>192</v>
      </c>
      <c r="AS504" s="23">
        <v>4</v>
      </c>
      <c r="AT504" s="23">
        <v>4</v>
      </c>
      <c r="AU504" s="23" t="s">
        <v>379</v>
      </c>
      <c r="AW504" s="23">
        <f t="shared" ref="AW504" si="145">(6.4+1.9)*1000</f>
        <v>8300</v>
      </c>
      <c r="AX504" s="23">
        <f t="shared" ref="AX504" si="146">AW504/(110+27)</f>
        <v>60.583941605839414</v>
      </c>
      <c r="AY504" s="64" t="s">
        <v>486</v>
      </c>
      <c r="BM504" s="23">
        <v>2.2469999999999999</v>
      </c>
      <c r="BN504" s="23">
        <v>3.8780000000000001</v>
      </c>
      <c r="BO504" s="23" t="s">
        <v>484</v>
      </c>
      <c r="EJ504" s="12"/>
      <c r="EL504" s="15"/>
      <c r="FR504" s="23" t="s">
        <v>487</v>
      </c>
      <c r="FS504" s="23" t="s">
        <v>808</v>
      </c>
      <c r="FT504" s="23">
        <v>26</v>
      </c>
    </row>
    <row r="505" spans="1:176" s="23" customFormat="1" x14ac:dyDescent="0.25">
      <c r="A505" s="23">
        <v>26</v>
      </c>
      <c r="B505" s="23" t="s">
        <v>469</v>
      </c>
      <c r="C505" s="23" t="s">
        <v>470</v>
      </c>
      <c r="D505" s="23">
        <v>2015</v>
      </c>
      <c r="E505" s="23">
        <v>2012</v>
      </c>
      <c r="F505" s="23" t="s">
        <v>336</v>
      </c>
      <c r="G505" s="23" t="s">
        <v>472</v>
      </c>
      <c r="H505" s="23">
        <f t="shared" si="99"/>
        <v>35.22</v>
      </c>
      <c r="I505" s="23">
        <f t="shared" si="100"/>
        <v>-77.650000000000006</v>
      </c>
      <c r="J505" s="23">
        <v>22.4</v>
      </c>
      <c r="P505" s="53">
        <v>1</v>
      </c>
      <c r="Q505" s="53"/>
      <c r="R505" s="53" t="s">
        <v>477</v>
      </c>
      <c r="S505" s="53" t="s">
        <v>1558</v>
      </c>
      <c r="T505" s="53" t="s">
        <v>1558</v>
      </c>
      <c r="U505" s="53" t="s">
        <v>1558</v>
      </c>
      <c r="V505" s="53" t="s">
        <v>1905</v>
      </c>
      <c r="Z505" s="23" t="s">
        <v>167</v>
      </c>
      <c r="AD505" s="23" t="s">
        <v>1487</v>
      </c>
      <c r="AE505" s="23" t="s">
        <v>281</v>
      </c>
      <c r="AF505" s="152" t="s">
        <v>666</v>
      </c>
      <c r="AG505" s="23" t="s">
        <v>160</v>
      </c>
      <c r="AH505" s="155" t="s">
        <v>160</v>
      </c>
      <c r="AL505" s="23" t="s">
        <v>483</v>
      </c>
      <c r="AM505" s="23" t="s">
        <v>483</v>
      </c>
      <c r="AN505" s="23" t="s">
        <v>212</v>
      </c>
      <c r="AO505" s="23">
        <v>0</v>
      </c>
      <c r="AP505" s="23">
        <v>0</v>
      </c>
      <c r="AQ505" s="23" t="s">
        <v>212</v>
      </c>
      <c r="AR505" s="23" t="s">
        <v>192</v>
      </c>
      <c r="AS505" s="23">
        <v>4</v>
      </c>
      <c r="AT505" s="23">
        <v>4</v>
      </c>
      <c r="AU505" s="23" t="s">
        <v>379</v>
      </c>
      <c r="AW505" s="23">
        <f t="shared" ref="AW505" si="147">(6.5+1.8)*1000</f>
        <v>8300</v>
      </c>
      <c r="AX505" s="23">
        <f t="shared" ref="AX505" si="148">AW505/(175+47)</f>
        <v>37.387387387387385</v>
      </c>
      <c r="AY505" s="64" t="s">
        <v>486</v>
      </c>
      <c r="BM505" s="23">
        <v>2.2469999999999999</v>
      </c>
      <c r="BN505" s="23">
        <v>3.8780000000000001</v>
      </c>
      <c r="BO505" s="23" t="s">
        <v>484</v>
      </c>
      <c r="EJ505" s="12"/>
      <c r="EL505" s="15"/>
      <c r="FR505" s="23" t="s">
        <v>487</v>
      </c>
      <c r="FS505" s="23" t="s">
        <v>808</v>
      </c>
      <c r="FT505" s="23">
        <v>26</v>
      </c>
    </row>
    <row r="506" spans="1:176" s="23" customFormat="1" x14ac:dyDescent="0.25">
      <c r="A506" s="23">
        <v>26</v>
      </c>
      <c r="B506" s="23" t="s">
        <v>469</v>
      </c>
      <c r="C506" s="23" t="s">
        <v>470</v>
      </c>
      <c r="D506" s="23">
        <v>2015</v>
      </c>
      <c r="E506" s="23">
        <v>2012</v>
      </c>
      <c r="F506" s="23" t="s">
        <v>336</v>
      </c>
      <c r="G506" s="23" t="s">
        <v>472</v>
      </c>
      <c r="H506" s="23">
        <f t="shared" si="99"/>
        <v>35.22</v>
      </c>
      <c r="I506" s="23">
        <f t="shared" si="100"/>
        <v>-77.650000000000006</v>
      </c>
      <c r="J506" s="23">
        <v>22.4</v>
      </c>
      <c r="P506" s="53">
        <v>1</v>
      </c>
      <c r="Q506" s="53"/>
      <c r="R506" s="53" t="s">
        <v>478</v>
      </c>
      <c r="S506" s="53" t="s">
        <v>1558</v>
      </c>
      <c r="T506" s="53" t="s">
        <v>1558</v>
      </c>
      <c r="U506" s="53" t="s">
        <v>1558</v>
      </c>
      <c r="V506" s="53" t="s">
        <v>1905</v>
      </c>
      <c r="Z506" s="23" t="s">
        <v>167</v>
      </c>
      <c r="AD506" s="23" t="s">
        <v>1487</v>
      </c>
      <c r="AE506" s="23" t="s">
        <v>474</v>
      </c>
      <c r="AF506" s="152" t="s">
        <v>666</v>
      </c>
      <c r="AG506" s="23" t="s">
        <v>160</v>
      </c>
      <c r="AH506" s="155" t="s">
        <v>160</v>
      </c>
      <c r="AL506" s="23" t="s">
        <v>483</v>
      </c>
      <c r="AM506" s="23" t="s">
        <v>483</v>
      </c>
      <c r="AN506" s="23" t="s">
        <v>212</v>
      </c>
      <c r="AO506" s="23">
        <v>0</v>
      </c>
      <c r="AP506" s="23">
        <v>0</v>
      </c>
      <c r="AQ506" s="23" t="s">
        <v>212</v>
      </c>
      <c r="AR506" s="23" t="s">
        <v>192</v>
      </c>
      <c r="AS506" s="23">
        <v>4</v>
      </c>
      <c r="AT506" s="23">
        <v>4</v>
      </c>
      <c r="AU506" s="23" t="s">
        <v>379</v>
      </c>
      <c r="AW506" s="23">
        <f t="shared" ref="AW506" si="149">(6.1+1.6)*1000</f>
        <v>7699.9999999999991</v>
      </c>
      <c r="AX506" s="23">
        <f t="shared" ref="AX506" si="150">AW506/(170+36)</f>
        <v>37.378640776699022</v>
      </c>
      <c r="AY506" s="64" t="s">
        <v>486</v>
      </c>
      <c r="BM506" s="23">
        <v>2.7269999999999999</v>
      </c>
      <c r="BN506" s="23">
        <v>3.8690000000000002</v>
      </c>
      <c r="BO506" s="23" t="s">
        <v>484</v>
      </c>
      <c r="EJ506" s="12"/>
      <c r="EL506" s="15"/>
      <c r="FR506" s="23" t="s">
        <v>487</v>
      </c>
      <c r="FS506" s="23" t="s">
        <v>808</v>
      </c>
      <c r="FT506" s="23">
        <v>26</v>
      </c>
    </row>
    <row r="507" spans="1:176" s="23" customFormat="1" x14ac:dyDescent="0.25">
      <c r="A507" s="23">
        <v>26</v>
      </c>
      <c r="B507" s="23" t="s">
        <v>469</v>
      </c>
      <c r="C507" s="23" t="s">
        <v>470</v>
      </c>
      <c r="D507" s="23">
        <v>2015</v>
      </c>
      <c r="E507" s="23">
        <v>2012</v>
      </c>
      <c r="F507" s="23" t="s">
        <v>336</v>
      </c>
      <c r="G507" s="23" t="s">
        <v>472</v>
      </c>
      <c r="H507" s="23">
        <f t="shared" si="99"/>
        <v>35.22</v>
      </c>
      <c r="I507" s="23">
        <f t="shared" si="100"/>
        <v>-77.650000000000006</v>
      </c>
      <c r="J507" s="23">
        <v>22.4</v>
      </c>
      <c r="P507" s="53">
        <v>1</v>
      </c>
      <c r="Q507" s="53"/>
      <c r="R507" s="53" t="s">
        <v>478</v>
      </c>
      <c r="S507" s="53" t="s">
        <v>1558</v>
      </c>
      <c r="T507" s="53" t="s">
        <v>1558</v>
      </c>
      <c r="U507" s="53" t="s">
        <v>1558</v>
      </c>
      <c r="V507" s="53" t="s">
        <v>1905</v>
      </c>
      <c r="Z507" s="23" t="s">
        <v>167</v>
      </c>
      <c r="AD507" s="23" t="s">
        <v>1487</v>
      </c>
      <c r="AE507" s="23" t="s">
        <v>475</v>
      </c>
      <c r="AF507" s="152" t="s">
        <v>666</v>
      </c>
      <c r="AG507" s="23" t="s">
        <v>160</v>
      </c>
      <c r="AH507" s="155" t="s">
        <v>160</v>
      </c>
      <c r="AL507" s="23" t="s">
        <v>483</v>
      </c>
      <c r="AM507" s="23" t="s">
        <v>483</v>
      </c>
      <c r="AN507" s="23" t="s">
        <v>212</v>
      </c>
      <c r="AO507" s="23">
        <v>0</v>
      </c>
      <c r="AP507" s="23">
        <v>0</v>
      </c>
      <c r="AQ507" s="23" t="s">
        <v>212</v>
      </c>
      <c r="AR507" s="23" t="s">
        <v>192</v>
      </c>
      <c r="AS507" s="23">
        <v>4</v>
      </c>
      <c r="AT507" s="23">
        <v>4</v>
      </c>
      <c r="AU507" s="23" t="s">
        <v>379</v>
      </c>
      <c r="AW507" s="23">
        <f t="shared" ref="AW507" si="151">(6.4+1.9)*1000</f>
        <v>8300</v>
      </c>
      <c r="AX507" s="23">
        <f t="shared" ref="AX507" si="152">AW507/(110+27)</f>
        <v>60.583941605839414</v>
      </c>
      <c r="AY507" s="64" t="s">
        <v>486</v>
      </c>
      <c r="BM507" s="23">
        <v>2.7269999999999999</v>
      </c>
      <c r="BN507" s="23">
        <v>3.8690000000000002</v>
      </c>
      <c r="BO507" s="23" t="s">
        <v>484</v>
      </c>
      <c r="EJ507" s="12"/>
      <c r="EL507" s="15"/>
      <c r="FR507" s="23" t="s">
        <v>487</v>
      </c>
      <c r="FS507" s="23" t="s">
        <v>808</v>
      </c>
      <c r="FT507" s="23">
        <v>26</v>
      </c>
    </row>
    <row r="508" spans="1:176" s="23" customFormat="1" x14ac:dyDescent="0.25">
      <c r="A508" s="23">
        <v>26</v>
      </c>
      <c r="B508" s="23" t="s">
        <v>469</v>
      </c>
      <c r="C508" s="23" t="s">
        <v>470</v>
      </c>
      <c r="D508" s="23">
        <v>2015</v>
      </c>
      <c r="E508" s="23">
        <v>2012</v>
      </c>
      <c r="F508" s="23" t="s">
        <v>336</v>
      </c>
      <c r="G508" s="23" t="s">
        <v>472</v>
      </c>
      <c r="H508" s="23">
        <f t="shared" si="99"/>
        <v>35.22</v>
      </c>
      <c r="I508" s="23">
        <f t="shared" si="100"/>
        <v>-77.650000000000006</v>
      </c>
      <c r="J508" s="23">
        <v>22.4</v>
      </c>
      <c r="P508" s="53">
        <v>1</v>
      </c>
      <c r="Q508" s="53"/>
      <c r="R508" s="53" t="s">
        <v>478</v>
      </c>
      <c r="S508" s="53" t="s">
        <v>1558</v>
      </c>
      <c r="T508" s="53" t="s">
        <v>1558</v>
      </c>
      <c r="U508" s="53" t="s">
        <v>1558</v>
      </c>
      <c r="V508" s="53" t="s">
        <v>1905</v>
      </c>
      <c r="Z508" s="23" t="s">
        <v>167</v>
      </c>
      <c r="AD508" s="23" t="s">
        <v>1487</v>
      </c>
      <c r="AE508" s="23" t="s">
        <v>281</v>
      </c>
      <c r="AF508" s="152" t="s">
        <v>666</v>
      </c>
      <c r="AG508" s="23" t="s">
        <v>160</v>
      </c>
      <c r="AH508" s="155" t="s">
        <v>160</v>
      </c>
      <c r="AL508" s="23" t="s">
        <v>483</v>
      </c>
      <c r="AM508" s="23" t="s">
        <v>483</v>
      </c>
      <c r="AN508" s="23" t="s">
        <v>212</v>
      </c>
      <c r="AO508" s="23">
        <v>0</v>
      </c>
      <c r="AP508" s="23">
        <v>0</v>
      </c>
      <c r="AQ508" s="23" t="s">
        <v>212</v>
      </c>
      <c r="AR508" s="23" t="s">
        <v>192</v>
      </c>
      <c r="AS508" s="23">
        <v>4</v>
      </c>
      <c r="AT508" s="23">
        <v>4</v>
      </c>
      <c r="AU508" s="23" t="s">
        <v>379</v>
      </c>
      <c r="AW508" s="23">
        <f t="shared" ref="AW508" si="153">(6.5+1.8)*1000</f>
        <v>8300</v>
      </c>
      <c r="AX508" s="23">
        <f t="shared" ref="AX508" si="154">AW508/(175+47)</f>
        <v>37.387387387387385</v>
      </c>
      <c r="AY508" s="64" t="s">
        <v>486</v>
      </c>
      <c r="BM508" s="23">
        <v>2.7269999999999999</v>
      </c>
      <c r="BN508" s="23">
        <v>3.8690000000000002</v>
      </c>
      <c r="BO508" s="23" t="s">
        <v>484</v>
      </c>
      <c r="EJ508" s="12"/>
      <c r="EL508" s="15"/>
      <c r="FR508" s="23" t="s">
        <v>487</v>
      </c>
      <c r="FS508" s="23" t="s">
        <v>808</v>
      </c>
      <c r="FT508" s="23">
        <v>26</v>
      </c>
    </row>
    <row r="509" spans="1:176" s="23" customFormat="1" x14ac:dyDescent="0.25">
      <c r="A509" s="23">
        <v>26</v>
      </c>
      <c r="B509" s="23" t="s">
        <v>469</v>
      </c>
      <c r="C509" s="23" t="s">
        <v>470</v>
      </c>
      <c r="D509" s="23">
        <v>2015</v>
      </c>
      <c r="E509" s="23">
        <v>2012</v>
      </c>
      <c r="F509" s="23" t="s">
        <v>336</v>
      </c>
      <c r="G509" s="23" t="s">
        <v>472</v>
      </c>
      <c r="H509" s="23">
        <f t="shared" si="99"/>
        <v>35.22</v>
      </c>
      <c r="I509" s="23">
        <f t="shared" si="100"/>
        <v>-77.650000000000006</v>
      </c>
      <c r="J509" s="23">
        <v>22.4</v>
      </c>
      <c r="P509" s="53">
        <v>1</v>
      </c>
      <c r="Q509" s="53"/>
      <c r="R509" s="53" t="s">
        <v>479</v>
      </c>
      <c r="S509" s="53" t="s">
        <v>1558</v>
      </c>
      <c r="T509" s="53" t="s">
        <v>1558</v>
      </c>
      <c r="U509" s="53" t="s">
        <v>1558</v>
      </c>
      <c r="V509" s="53" t="s">
        <v>1905</v>
      </c>
      <c r="Z509" s="23" t="s">
        <v>167</v>
      </c>
      <c r="AD509" s="23" t="s">
        <v>1487</v>
      </c>
      <c r="AE509" s="23" t="s">
        <v>474</v>
      </c>
      <c r="AF509" s="152" t="s">
        <v>666</v>
      </c>
      <c r="AG509" s="23" t="s">
        <v>160</v>
      </c>
      <c r="AH509" s="155" t="s">
        <v>160</v>
      </c>
      <c r="AL509" s="23" t="s">
        <v>483</v>
      </c>
      <c r="AM509" s="23" t="s">
        <v>483</v>
      </c>
      <c r="AN509" s="23" t="s">
        <v>212</v>
      </c>
      <c r="AO509" s="23">
        <v>0</v>
      </c>
      <c r="AP509" s="23">
        <v>0</v>
      </c>
      <c r="AQ509" s="23" t="s">
        <v>212</v>
      </c>
      <c r="AR509" s="23" t="s">
        <v>192</v>
      </c>
      <c r="AS509" s="23">
        <v>4</v>
      </c>
      <c r="AT509" s="23">
        <v>4</v>
      </c>
      <c r="AU509" s="23" t="s">
        <v>379</v>
      </c>
      <c r="AW509" s="23">
        <f t="shared" ref="AW509" si="155">(6.1+1.6)*1000</f>
        <v>7699.9999999999991</v>
      </c>
      <c r="AX509" s="23">
        <f t="shared" ref="AX509" si="156">AW509/(170+36)</f>
        <v>37.378640776699022</v>
      </c>
      <c r="AY509" s="64" t="s">
        <v>486</v>
      </c>
      <c r="BM509" s="23">
        <v>4.8380000000000001</v>
      </c>
      <c r="BN509" s="23">
        <v>5.7350000000000003</v>
      </c>
      <c r="BO509" s="23" t="s">
        <v>484</v>
      </c>
      <c r="EJ509" s="12"/>
      <c r="EL509" s="15"/>
      <c r="FR509" s="23" t="s">
        <v>487</v>
      </c>
      <c r="FS509" s="23" t="s">
        <v>808</v>
      </c>
      <c r="FT509" s="23">
        <v>26</v>
      </c>
    </row>
    <row r="510" spans="1:176" s="23" customFormat="1" x14ac:dyDescent="0.25">
      <c r="A510" s="23">
        <v>26</v>
      </c>
      <c r="B510" s="23" t="s">
        <v>469</v>
      </c>
      <c r="C510" s="23" t="s">
        <v>470</v>
      </c>
      <c r="D510" s="23">
        <v>2015</v>
      </c>
      <c r="E510" s="23">
        <v>2012</v>
      </c>
      <c r="F510" s="23" t="s">
        <v>336</v>
      </c>
      <c r="G510" s="23" t="s">
        <v>472</v>
      </c>
      <c r="H510" s="23">
        <f t="shared" si="99"/>
        <v>35.22</v>
      </c>
      <c r="I510" s="23">
        <f t="shared" si="100"/>
        <v>-77.650000000000006</v>
      </c>
      <c r="J510" s="23">
        <v>22.4</v>
      </c>
      <c r="P510" s="53">
        <v>1</v>
      </c>
      <c r="Q510" s="53"/>
      <c r="R510" s="53" t="s">
        <v>479</v>
      </c>
      <c r="S510" s="53" t="s">
        <v>1558</v>
      </c>
      <c r="T510" s="53" t="s">
        <v>1558</v>
      </c>
      <c r="U510" s="53" t="s">
        <v>1558</v>
      </c>
      <c r="V510" s="53" t="s">
        <v>1905</v>
      </c>
      <c r="Z510" s="23" t="s">
        <v>167</v>
      </c>
      <c r="AD510" s="23" t="s">
        <v>1487</v>
      </c>
      <c r="AE510" s="23" t="s">
        <v>475</v>
      </c>
      <c r="AF510" s="152" t="s">
        <v>666</v>
      </c>
      <c r="AG510" s="23" t="s">
        <v>160</v>
      </c>
      <c r="AH510" s="155" t="s">
        <v>160</v>
      </c>
      <c r="AL510" s="23" t="s">
        <v>483</v>
      </c>
      <c r="AM510" s="23" t="s">
        <v>483</v>
      </c>
      <c r="AN510" s="23" t="s">
        <v>212</v>
      </c>
      <c r="AO510" s="23">
        <v>0</v>
      </c>
      <c r="AP510" s="23">
        <v>0</v>
      </c>
      <c r="AQ510" s="23" t="s">
        <v>212</v>
      </c>
      <c r="AR510" s="23" t="s">
        <v>192</v>
      </c>
      <c r="AS510" s="23">
        <v>4</v>
      </c>
      <c r="AT510" s="23">
        <v>4</v>
      </c>
      <c r="AU510" s="23" t="s">
        <v>379</v>
      </c>
      <c r="AW510" s="23">
        <f t="shared" ref="AW510" si="157">(6.4+1.9)*1000</f>
        <v>8300</v>
      </c>
      <c r="AX510" s="23">
        <f t="shared" ref="AX510" si="158">AW510/(110+27)</f>
        <v>60.583941605839414</v>
      </c>
      <c r="AY510" s="64" t="s">
        <v>486</v>
      </c>
      <c r="BM510" s="23">
        <v>4.8380000000000001</v>
      </c>
      <c r="BN510" s="23">
        <v>5.7350000000000003</v>
      </c>
      <c r="BO510" s="23" t="s">
        <v>484</v>
      </c>
      <c r="EJ510" s="12"/>
      <c r="EL510" s="15"/>
      <c r="FR510" s="23" t="s">
        <v>487</v>
      </c>
      <c r="FS510" s="23" t="s">
        <v>808</v>
      </c>
      <c r="FT510" s="23">
        <v>26</v>
      </c>
    </row>
    <row r="511" spans="1:176" s="23" customFormat="1" x14ac:dyDescent="0.25">
      <c r="A511" s="23">
        <v>26</v>
      </c>
      <c r="B511" s="23" t="s">
        <v>469</v>
      </c>
      <c r="C511" s="23" t="s">
        <v>470</v>
      </c>
      <c r="D511" s="23">
        <v>2015</v>
      </c>
      <c r="E511" s="23">
        <v>2012</v>
      </c>
      <c r="F511" s="23" t="s">
        <v>336</v>
      </c>
      <c r="G511" s="23" t="s">
        <v>472</v>
      </c>
      <c r="H511" s="23">
        <f t="shared" si="99"/>
        <v>35.22</v>
      </c>
      <c r="I511" s="23">
        <f t="shared" si="100"/>
        <v>-77.650000000000006</v>
      </c>
      <c r="J511" s="23">
        <v>22.4</v>
      </c>
      <c r="P511" s="53">
        <v>1</v>
      </c>
      <c r="Q511" s="53"/>
      <c r="R511" s="53" t="s">
        <v>479</v>
      </c>
      <c r="S511" s="53" t="s">
        <v>1558</v>
      </c>
      <c r="T511" s="53" t="s">
        <v>1558</v>
      </c>
      <c r="U511" s="53" t="s">
        <v>1558</v>
      </c>
      <c r="V511" s="53" t="s">
        <v>1905</v>
      </c>
      <c r="Z511" s="23" t="s">
        <v>167</v>
      </c>
      <c r="AD511" s="23" t="s">
        <v>1487</v>
      </c>
      <c r="AE511" s="23" t="s">
        <v>281</v>
      </c>
      <c r="AF511" s="152" t="s">
        <v>666</v>
      </c>
      <c r="AG511" s="23" t="s">
        <v>160</v>
      </c>
      <c r="AH511" s="155" t="s">
        <v>160</v>
      </c>
      <c r="AL511" s="23" t="s">
        <v>483</v>
      </c>
      <c r="AM511" s="23" t="s">
        <v>483</v>
      </c>
      <c r="AN511" s="23" t="s">
        <v>212</v>
      </c>
      <c r="AO511" s="23">
        <v>0</v>
      </c>
      <c r="AP511" s="23">
        <v>0</v>
      </c>
      <c r="AQ511" s="23" t="s">
        <v>212</v>
      </c>
      <c r="AR511" s="23" t="s">
        <v>192</v>
      </c>
      <c r="AS511" s="23">
        <v>4</v>
      </c>
      <c r="AT511" s="23">
        <v>4</v>
      </c>
      <c r="AU511" s="23" t="s">
        <v>379</v>
      </c>
      <c r="AW511" s="23">
        <f t="shared" ref="AW511" si="159">(6.5+1.8)*1000</f>
        <v>8300</v>
      </c>
      <c r="AX511" s="23">
        <f t="shared" ref="AX511" si="160">AW511/(175+47)</f>
        <v>37.387387387387385</v>
      </c>
      <c r="AY511" s="64" t="s">
        <v>486</v>
      </c>
      <c r="BM511" s="23">
        <v>4.8380000000000001</v>
      </c>
      <c r="BN511" s="23">
        <v>5.7350000000000003</v>
      </c>
      <c r="BO511" s="23" t="s">
        <v>484</v>
      </c>
      <c r="EJ511" s="12"/>
      <c r="EL511" s="15"/>
      <c r="FR511" s="23" t="s">
        <v>487</v>
      </c>
      <c r="FS511" s="23" t="s">
        <v>808</v>
      </c>
      <c r="FT511" s="23">
        <v>26</v>
      </c>
    </row>
    <row r="512" spans="1:176" s="23" customFormat="1" x14ac:dyDescent="0.25">
      <c r="A512" s="23">
        <v>26</v>
      </c>
      <c r="B512" s="23" t="s">
        <v>469</v>
      </c>
      <c r="C512" s="23" t="s">
        <v>470</v>
      </c>
      <c r="D512" s="23">
        <v>2015</v>
      </c>
      <c r="E512" s="23">
        <v>2012</v>
      </c>
      <c r="F512" s="23" t="s">
        <v>336</v>
      </c>
      <c r="G512" s="23" t="s">
        <v>472</v>
      </c>
      <c r="H512" s="23">
        <f t="shared" si="99"/>
        <v>35.22</v>
      </c>
      <c r="I512" s="23">
        <f t="shared" si="100"/>
        <v>-77.650000000000006</v>
      </c>
      <c r="J512" s="23">
        <v>22.4</v>
      </c>
      <c r="P512" s="53">
        <v>1</v>
      </c>
      <c r="Q512" s="53"/>
      <c r="R512" s="53" t="s">
        <v>480</v>
      </c>
      <c r="S512" s="53" t="s">
        <v>1558</v>
      </c>
      <c r="T512" s="53" t="s">
        <v>1558</v>
      </c>
      <c r="U512" s="53" t="s">
        <v>1558</v>
      </c>
      <c r="V512" s="53" t="s">
        <v>1905</v>
      </c>
      <c r="Z512" s="23" t="s">
        <v>167</v>
      </c>
      <c r="AD512" s="23" t="s">
        <v>1487</v>
      </c>
      <c r="AE512" s="23" t="s">
        <v>474</v>
      </c>
      <c r="AF512" s="152" t="s">
        <v>666</v>
      </c>
      <c r="AG512" s="23" t="s">
        <v>160</v>
      </c>
      <c r="AH512" s="155" t="s">
        <v>160</v>
      </c>
      <c r="AL512" s="23" t="s">
        <v>483</v>
      </c>
      <c r="AM512" s="23" t="s">
        <v>483</v>
      </c>
      <c r="AN512" s="23" t="s">
        <v>212</v>
      </c>
      <c r="AO512" s="23">
        <v>0</v>
      </c>
      <c r="AP512" s="23">
        <v>0</v>
      </c>
      <c r="AQ512" s="23" t="s">
        <v>212</v>
      </c>
      <c r="AR512" s="23" t="s">
        <v>192</v>
      </c>
      <c r="AS512" s="23">
        <v>4</v>
      </c>
      <c r="AT512" s="23">
        <v>4</v>
      </c>
      <c r="AU512" s="23" t="s">
        <v>379</v>
      </c>
      <c r="AW512" s="23">
        <f t="shared" ref="AW512" si="161">(6.1+1.6)*1000</f>
        <v>7699.9999999999991</v>
      </c>
      <c r="AX512" s="23">
        <f t="shared" ref="AX512" si="162">AW512/(170+36)</f>
        <v>37.378640776699022</v>
      </c>
      <c r="AY512" s="64" t="s">
        <v>486</v>
      </c>
      <c r="BM512" s="23">
        <v>5.2370000000000001</v>
      </c>
      <c r="BN512" s="23">
        <v>6.38</v>
      </c>
      <c r="BO512" s="23" t="s">
        <v>484</v>
      </c>
      <c r="EJ512" s="12"/>
      <c r="EL512" s="15"/>
      <c r="FR512" s="23" t="s">
        <v>487</v>
      </c>
      <c r="FS512" s="23" t="s">
        <v>808</v>
      </c>
      <c r="FT512" s="23">
        <v>26</v>
      </c>
    </row>
    <row r="513" spans="1:176" s="23" customFormat="1" x14ac:dyDescent="0.25">
      <c r="A513" s="23">
        <v>26</v>
      </c>
      <c r="B513" s="23" t="s">
        <v>469</v>
      </c>
      <c r="C513" s="23" t="s">
        <v>470</v>
      </c>
      <c r="D513" s="23">
        <v>2015</v>
      </c>
      <c r="E513" s="23">
        <v>2012</v>
      </c>
      <c r="F513" s="23" t="s">
        <v>336</v>
      </c>
      <c r="G513" s="23" t="s">
        <v>472</v>
      </c>
      <c r="H513" s="23">
        <f t="shared" si="99"/>
        <v>35.22</v>
      </c>
      <c r="I513" s="23">
        <f t="shared" si="100"/>
        <v>-77.650000000000006</v>
      </c>
      <c r="J513" s="23">
        <v>22.4</v>
      </c>
      <c r="P513" s="53">
        <v>1</v>
      </c>
      <c r="Q513" s="53"/>
      <c r="R513" s="53" t="s">
        <v>480</v>
      </c>
      <c r="S513" s="53" t="s">
        <v>1558</v>
      </c>
      <c r="T513" s="53" t="s">
        <v>1558</v>
      </c>
      <c r="U513" s="53" t="s">
        <v>1558</v>
      </c>
      <c r="V513" s="53" t="s">
        <v>1905</v>
      </c>
      <c r="Z513" s="23" t="s">
        <v>167</v>
      </c>
      <c r="AD513" s="23" t="s">
        <v>1487</v>
      </c>
      <c r="AE513" s="23" t="s">
        <v>475</v>
      </c>
      <c r="AF513" s="152" t="s">
        <v>666</v>
      </c>
      <c r="AG513" s="23" t="s">
        <v>160</v>
      </c>
      <c r="AH513" s="155" t="s">
        <v>160</v>
      </c>
      <c r="AL513" s="23" t="s">
        <v>483</v>
      </c>
      <c r="AM513" s="23" t="s">
        <v>483</v>
      </c>
      <c r="AN513" s="23" t="s">
        <v>212</v>
      </c>
      <c r="AO513" s="23">
        <v>0</v>
      </c>
      <c r="AP513" s="23">
        <v>0</v>
      </c>
      <c r="AQ513" s="23" t="s">
        <v>212</v>
      </c>
      <c r="AR513" s="23" t="s">
        <v>192</v>
      </c>
      <c r="AS513" s="23">
        <v>4</v>
      </c>
      <c r="AT513" s="23">
        <v>4</v>
      </c>
      <c r="AU513" s="23" t="s">
        <v>379</v>
      </c>
      <c r="AW513" s="23">
        <f t="shared" ref="AW513" si="163">(6.4+1.9)*1000</f>
        <v>8300</v>
      </c>
      <c r="AX513" s="23">
        <f t="shared" ref="AX513" si="164">AW513/(110+27)</f>
        <v>60.583941605839414</v>
      </c>
      <c r="AY513" s="64" t="s">
        <v>486</v>
      </c>
      <c r="BM513" s="23">
        <v>5.2370000000000001</v>
      </c>
      <c r="BN513" s="23">
        <v>6.38</v>
      </c>
      <c r="BO513" s="23" t="s">
        <v>484</v>
      </c>
      <c r="EJ513" s="12"/>
      <c r="EL513" s="15"/>
      <c r="FR513" s="23" t="s">
        <v>487</v>
      </c>
      <c r="FS513" s="23" t="s">
        <v>808</v>
      </c>
      <c r="FT513" s="23">
        <v>26</v>
      </c>
    </row>
    <row r="514" spans="1:176" s="23" customFormat="1" x14ac:dyDescent="0.25">
      <c r="A514" s="23">
        <v>26</v>
      </c>
      <c r="B514" s="23" t="s">
        <v>469</v>
      </c>
      <c r="C514" s="23" t="s">
        <v>470</v>
      </c>
      <c r="D514" s="23">
        <v>2015</v>
      </c>
      <c r="E514" s="23">
        <v>2012</v>
      </c>
      <c r="F514" s="23" t="s">
        <v>336</v>
      </c>
      <c r="G514" s="23" t="s">
        <v>472</v>
      </c>
      <c r="H514" s="23">
        <f t="shared" si="99"/>
        <v>35.22</v>
      </c>
      <c r="I514" s="23">
        <f t="shared" si="100"/>
        <v>-77.650000000000006</v>
      </c>
      <c r="J514" s="23">
        <v>22.4</v>
      </c>
      <c r="P514" s="53">
        <v>1</v>
      </c>
      <c r="Q514" s="53"/>
      <c r="R514" s="53" t="s">
        <v>480</v>
      </c>
      <c r="S514" s="53" t="s">
        <v>1558</v>
      </c>
      <c r="T514" s="53" t="s">
        <v>1558</v>
      </c>
      <c r="U514" s="53" t="s">
        <v>1558</v>
      </c>
      <c r="V514" s="53" t="s">
        <v>1905</v>
      </c>
      <c r="Z514" s="23" t="s">
        <v>167</v>
      </c>
      <c r="AD514" s="23" t="s">
        <v>1487</v>
      </c>
      <c r="AE514" s="23" t="s">
        <v>281</v>
      </c>
      <c r="AF514" s="152" t="s">
        <v>666</v>
      </c>
      <c r="AG514" s="23" t="s">
        <v>160</v>
      </c>
      <c r="AH514" s="155" t="s">
        <v>160</v>
      </c>
      <c r="AL514" s="23" t="s">
        <v>483</v>
      </c>
      <c r="AM514" s="23" t="s">
        <v>483</v>
      </c>
      <c r="AN514" s="23" t="s">
        <v>212</v>
      </c>
      <c r="AO514" s="23">
        <v>0</v>
      </c>
      <c r="AP514" s="23">
        <v>0</v>
      </c>
      <c r="AQ514" s="23" t="s">
        <v>212</v>
      </c>
      <c r="AR514" s="23" t="s">
        <v>192</v>
      </c>
      <c r="AS514" s="23">
        <v>4</v>
      </c>
      <c r="AT514" s="23">
        <v>4</v>
      </c>
      <c r="AU514" s="23" t="s">
        <v>379</v>
      </c>
      <c r="AW514" s="23">
        <f t="shared" ref="AW514" si="165">(6.5+1.8)*1000</f>
        <v>8300</v>
      </c>
      <c r="AX514" s="23">
        <f t="shared" ref="AX514" si="166">AW514/(175+47)</f>
        <v>37.387387387387385</v>
      </c>
      <c r="AY514" s="64" t="s">
        <v>486</v>
      </c>
      <c r="BM514" s="23">
        <v>5.2370000000000001</v>
      </c>
      <c r="BN514" s="23">
        <v>6.38</v>
      </c>
      <c r="BO514" s="23" t="s">
        <v>484</v>
      </c>
      <c r="EJ514" s="12"/>
      <c r="EL514" s="15"/>
      <c r="FR514" s="23" t="s">
        <v>487</v>
      </c>
      <c r="FS514" s="23" t="s">
        <v>808</v>
      </c>
      <c r="FT514" s="23">
        <v>26</v>
      </c>
    </row>
    <row r="515" spans="1:176" s="23" customFormat="1" x14ac:dyDescent="0.25">
      <c r="A515" s="23">
        <v>26</v>
      </c>
      <c r="B515" s="23" t="s">
        <v>469</v>
      </c>
      <c r="C515" s="23" t="s">
        <v>470</v>
      </c>
      <c r="D515" s="23">
        <v>2015</v>
      </c>
      <c r="E515" s="23">
        <v>2012</v>
      </c>
      <c r="F515" s="23" t="s">
        <v>336</v>
      </c>
      <c r="G515" s="23" t="s">
        <v>472</v>
      </c>
      <c r="H515" s="23">
        <f t="shared" si="99"/>
        <v>35.22</v>
      </c>
      <c r="I515" s="23">
        <f t="shared" si="100"/>
        <v>-77.650000000000006</v>
      </c>
      <c r="J515" s="23">
        <v>22.4</v>
      </c>
      <c r="P515" s="53">
        <v>1</v>
      </c>
      <c r="Q515" s="53"/>
      <c r="R515" s="53" t="s">
        <v>481</v>
      </c>
      <c r="S515" s="53" t="s">
        <v>1558</v>
      </c>
      <c r="T515" s="53" t="s">
        <v>1558</v>
      </c>
      <c r="U515" s="53" t="s">
        <v>1558</v>
      </c>
      <c r="V515" s="53" t="s">
        <v>1905</v>
      </c>
      <c r="Z515" s="23" t="s">
        <v>167</v>
      </c>
      <c r="AD515" s="23" t="s">
        <v>1487</v>
      </c>
      <c r="AE515" s="23" t="s">
        <v>474</v>
      </c>
      <c r="AF515" s="152" t="s">
        <v>666</v>
      </c>
      <c r="AG515" s="23" t="s">
        <v>160</v>
      </c>
      <c r="AH515" s="155" t="s">
        <v>160</v>
      </c>
      <c r="AL515" s="23" t="s">
        <v>483</v>
      </c>
      <c r="AM515" s="23" t="s">
        <v>483</v>
      </c>
      <c r="AN515" s="23" t="s">
        <v>212</v>
      </c>
      <c r="AO515" s="23">
        <v>0</v>
      </c>
      <c r="AP515" s="23">
        <v>0</v>
      </c>
      <c r="AQ515" s="23" t="s">
        <v>212</v>
      </c>
      <c r="AR515" s="23" t="s">
        <v>192</v>
      </c>
      <c r="AS515" s="23">
        <v>4</v>
      </c>
      <c r="AT515" s="23">
        <v>4</v>
      </c>
      <c r="AU515" s="23" t="s">
        <v>379</v>
      </c>
      <c r="AW515" s="23">
        <f t="shared" ref="AW515" si="167">(6.1+1.6)*1000</f>
        <v>7699.9999999999991</v>
      </c>
      <c r="AX515" s="23">
        <f t="shared" ref="AX515" si="168">AW515/(170+36)</f>
        <v>37.378640776699022</v>
      </c>
      <c r="AY515" s="64" t="s">
        <v>486</v>
      </c>
      <c r="BM515" s="23">
        <v>3.5859999999999999</v>
      </c>
      <c r="BN515" s="23">
        <v>4.0750000000000002</v>
      </c>
      <c r="BO515" s="23" t="s">
        <v>484</v>
      </c>
      <c r="EJ515" s="12"/>
      <c r="EL515" s="15"/>
      <c r="FR515" s="23" t="s">
        <v>487</v>
      </c>
      <c r="FS515" s="23" t="s">
        <v>808</v>
      </c>
      <c r="FT515" s="23">
        <v>26</v>
      </c>
    </row>
    <row r="516" spans="1:176" s="23" customFormat="1" x14ac:dyDescent="0.25">
      <c r="A516" s="23">
        <v>26</v>
      </c>
      <c r="B516" s="23" t="s">
        <v>469</v>
      </c>
      <c r="C516" s="23" t="s">
        <v>470</v>
      </c>
      <c r="D516" s="23">
        <v>2015</v>
      </c>
      <c r="E516" s="23">
        <v>2012</v>
      </c>
      <c r="F516" s="23" t="s">
        <v>336</v>
      </c>
      <c r="G516" s="23" t="s">
        <v>472</v>
      </c>
      <c r="H516" s="23">
        <f t="shared" si="99"/>
        <v>35.22</v>
      </c>
      <c r="I516" s="23">
        <f t="shared" si="100"/>
        <v>-77.650000000000006</v>
      </c>
      <c r="J516" s="23">
        <v>22.4</v>
      </c>
      <c r="P516" s="53">
        <v>1</v>
      </c>
      <c r="Q516" s="53"/>
      <c r="R516" s="53" t="s">
        <v>481</v>
      </c>
      <c r="S516" s="53" t="s">
        <v>1558</v>
      </c>
      <c r="T516" s="53" t="s">
        <v>1558</v>
      </c>
      <c r="U516" s="53" t="s">
        <v>1558</v>
      </c>
      <c r="V516" s="53" t="s">
        <v>1905</v>
      </c>
      <c r="Z516" s="23" t="s">
        <v>167</v>
      </c>
      <c r="AD516" s="23" t="s">
        <v>1487</v>
      </c>
      <c r="AE516" s="23" t="s">
        <v>475</v>
      </c>
      <c r="AF516" s="152" t="s">
        <v>666</v>
      </c>
      <c r="AG516" s="23" t="s">
        <v>160</v>
      </c>
      <c r="AH516" s="155" t="s">
        <v>160</v>
      </c>
      <c r="AL516" s="23" t="s">
        <v>483</v>
      </c>
      <c r="AM516" s="23" t="s">
        <v>483</v>
      </c>
      <c r="AN516" s="23" t="s">
        <v>212</v>
      </c>
      <c r="AO516" s="23">
        <v>0</v>
      </c>
      <c r="AP516" s="23">
        <v>0</v>
      </c>
      <c r="AQ516" s="23" t="s">
        <v>212</v>
      </c>
      <c r="AR516" s="23" t="s">
        <v>192</v>
      </c>
      <c r="AS516" s="23">
        <v>4</v>
      </c>
      <c r="AT516" s="23">
        <v>4</v>
      </c>
      <c r="AU516" s="23" t="s">
        <v>379</v>
      </c>
      <c r="AW516" s="23">
        <f t="shared" ref="AW516" si="169">(6.4+1.9)*1000</f>
        <v>8300</v>
      </c>
      <c r="AX516" s="23">
        <f t="shared" ref="AX516" si="170">AW516/(110+27)</f>
        <v>60.583941605839414</v>
      </c>
      <c r="AY516" s="64" t="s">
        <v>486</v>
      </c>
      <c r="BM516" s="23">
        <v>3.5859999999999999</v>
      </c>
      <c r="BN516" s="23">
        <v>2.2799999999999998</v>
      </c>
      <c r="BO516" s="23" t="s">
        <v>484</v>
      </c>
      <c r="EJ516" s="12"/>
      <c r="EL516" s="15"/>
      <c r="FR516" s="23" t="s">
        <v>487</v>
      </c>
      <c r="FS516" s="23" t="s">
        <v>808</v>
      </c>
      <c r="FT516" s="23">
        <v>26</v>
      </c>
    </row>
    <row r="517" spans="1:176" s="23" customFormat="1" x14ac:dyDescent="0.25">
      <c r="A517" s="23">
        <v>26</v>
      </c>
      <c r="B517" s="23" t="s">
        <v>469</v>
      </c>
      <c r="C517" s="23" t="s">
        <v>470</v>
      </c>
      <c r="D517" s="23">
        <v>2015</v>
      </c>
      <c r="E517" s="23">
        <v>2012</v>
      </c>
      <c r="F517" s="23" t="s">
        <v>336</v>
      </c>
      <c r="G517" s="23" t="s">
        <v>472</v>
      </c>
      <c r="H517" s="23">
        <f t="shared" si="99"/>
        <v>35.22</v>
      </c>
      <c r="I517" s="23">
        <f t="shared" si="100"/>
        <v>-77.650000000000006</v>
      </c>
      <c r="J517" s="23">
        <v>22.4</v>
      </c>
      <c r="P517" s="53">
        <v>1</v>
      </c>
      <c r="Q517" s="53"/>
      <c r="R517" s="53" t="s">
        <v>481</v>
      </c>
      <c r="S517" s="53" t="s">
        <v>1558</v>
      </c>
      <c r="T517" s="53" t="s">
        <v>1558</v>
      </c>
      <c r="U517" s="53" t="s">
        <v>1558</v>
      </c>
      <c r="V517" s="53" t="s">
        <v>1905</v>
      </c>
      <c r="Z517" s="23" t="s">
        <v>167</v>
      </c>
      <c r="AD517" s="23" t="s">
        <v>1487</v>
      </c>
      <c r="AE517" s="23" t="s">
        <v>281</v>
      </c>
      <c r="AF517" s="152" t="s">
        <v>666</v>
      </c>
      <c r="AG517" s="23" t="s">
        <v>160</v>
      </c>
      <c r="AH517" s="155" t="s">
        <v>160</v>
      </c>
      <c r="AL517" s="23" t="s">
        <v>483</v>
      </c>
      <c r="AM517" s="23" t="s">
        <v>483</v>
      </c>
      <c r="AN517" s="23" t="s">
        <v>212</v>
      </c>
      <c r="AO517" s="23">
        <v>0</v>
      </c>
      <c r="AP517" s="23">
        <v>0</v>
      </c>
      <c r="AQ517" s="23" t="s">
        <v>212</v>
      </c>
      <c r="AR517" s="23" t="s">
        <v>192</v>
      </c>
      <c r="AS517" s="23">
        <v>4</v>
      </c>
      <c r="AT517" s="23">
        <v>4</v>
      </c>
      <c r="AU517" s="23" t="s">
        <v>379</v>
      </c>
      <c r="AW517" s="23">
        <f t="shared" ref="AW517" si="171">(6.5+1.8)*1000</f>
        <v>8300</v>
      </c>
      <c r="AX517" s="23">
        <f t="shared" ref="AX517" si="172">AW517/(175+47)</f>
        <v>37.387387387387385</v>
      </c>
      <c r="AY517" s="64" t="s">
        <v>486</v>
      </c>
      <c r="BM517" s="23">
        <v>3.5859999999999999</v>
      </c>
      <c r="BN517" s="23">
        <v>4.0750000000000002</v>
      </c>
      <c r="BO517" s="23" t="s">
        <v>484</v>
      </c>
      <c r="EJ517" s="12"/>
      <c r="EL517" s="15"/>
      <c r="FR517" s="23" t="s">
        <v>487</v>
      </c>
      <c r="FS517" s="23" t="s">
        <v>808</v>
      </c>
      <c r="FT517" s="23">
        <v>26</v>
      </c>
    </row>
    <row r="518" spans="1:176" s="23" customFormat="1" x14ac:dyDescent="0.25">
      <c r="A518" s="23">
        <v>26</v>
      </c>
      <c r="B518" s="23" t="s">
        <v>469</v>
      </c>
      <c r="C518" s="23" t="s">
        <v>470</v>
      </c>
      <c r="D518" s="23">
        <v>2015</v>
      </c>
      <c r="E518" s="23">
        <v>2012</v>
      </c>
      <c r="F518" s="23" t="s">
        <v>336</v>
      </c>
      <c r="G518" s="23" t="s">
        <v>472</v>
      </c>
      <c r="H518" s="23">
        <f t="shared" si="99"/>
        <v>35.22</v>
      </c>
      <c r="I518" s="23">
        <f t="shared" si="100"/>
        <v>-77.650000000000006</v>
      </c>
      <c r="J518" s="23">
        <v>22.4</v>
      </c>
      <c r="P518" s="53">
        <v>1</v>
      </c>
      <c r="Q518" s="53"/>
      <c r="R518" s="53" t="s">
        <v>482</v>
      </c>
      <c r="S518" s="53" t="s">
        <v>1558</v>
      </c>
      <c r="T518" s="53" t="s">
        <v>1558</v>
      </c>
      <c r="U518" s="53" t="s">
        <v>1558</v>
      </c>
      <c r="V518" s="53" t="s">
        <v>1905</v>
      </c>
      <c r="Z518" s="23" t="s">
        <v>167</v>
      </c>
      <c r="AD518" s="23" t="s">
        <v>1487</v>
      </c>
      <c r="AE518" s="23" t="s">
        <v>474</v>
      </c>
      <c r="AF518" s="152" t="s">
        <v>666</v>
      </c>
      <c r="AG518" s="23" t="s">
        <v>160</v>
      </c>
      <c r="AH518" s="155" t="s">
        <v>160</v>
      </c>
      <c r="AL518" s="23" t="s">
        <v>483</v>
      </c>
      <c r="AM518" s="23" t="s">
        <v>483</v>
      </c>
      <c r="AN518" s="23" t="s">
        <v>212</v>
      </c>
      <c r="AO518" s="23">
        <v>0</v>
      </c>
      <c r="AP518" s="23">
        <v>0</v>
      </c>
      <c r="AQ518" s="23" t="s">
        <v>212</v>
      </c>
      <c r="AR518" s="23" t="s">
        <v>192</v>
      </c>
      <c r="AS518" s="23">
        <v>4</v>
      </c>
      <c r="AT518" s="23">
        <v>4</v>
      </c>
      <c r="AU518" s="23" t="s">
        <v>379</v>
      </c>
      <c r="AW518" s="23">
        <f t="shared" ref="AW518" si="173">(6.1+1.6)*1000</f>
        <v>7699.9999999999991</v>
      </c>
      <c r="AX518" s="23">
        <f t="shared" ref="AX518" si="174">AW518/(170+36)</f>
        <v>37.378640776699022</v>
      </c>
      <c r="AY518" s="64" t="s">
        <v>486</v>
      </c>
      <c r="BM518" s="23">
        <v>6.4219999999999997</v>
      </c>
      <c r="BN518" s="23">
        <v>5.2</v>
      </c>
      <c r="BO518" s="23" t="s">
        <v>484</v>
      </c>
      <c r="EJ518" s="12"/>
      <c r="EL518" s="15"/>
      <c r="FR518" s="23" t="s">
        <v>487</v>
      </c>
      <c r="FS518" s="23" t="s">
        <v>808</v>
      </c>
      <c r="FT518" s="23">
        <v>26</v>
      </c>
    </row>
    <row r="519" spans="1:176" s="23" customFormat="1" x14ac:dyDescent="0.25">
      <c r="A519" s="23">
        <v>26</v>
      </c>
      <c r="B519" s="23" t="s">
        <v>469</v>
      </c>
      <c r="C519" s="23" t="s">
        <v>470</v>
      </c>
      <c r="D519" s="23">
        <v>2015</v>
      </c>
      <c r="E519" s="23">
        <v>2012</v>
      </c>
      <c r="F519" s="23" t="s">
        <v>336</v>
      </c>
      <c r="G519" s="23" t="s">
        <v>472</v>
      </c>
      <c r="H519" s="23">
        <f t="shared" si="99"/>
        <v>35.22</v>
      </c>
      <c r="I519" s="23">
        <f t="shared" si="100"/>
        <v>-77.650000000000006</v>
      </c>
      <c r="J519" s="23">
        <v>22.4</v>
      </c>
      <c r="P519" s="53">
        <v>1</v>
      </c>
      <c r="Q519" s="53"/>
      <c r="R519" s="53" t="s">
        <v>482</v>
      </c>
      <c r="S519" s="53" t="s">
        <v>1558</v>
      </c>
      <c r="T519" s="53" t="s">
        <v>1558</v>
      </c>
      <c r="U519" s="53" t="s">
        <v>1558</v>
      </c>
      <c r="V519" s="53" t="s">
        <v>1905</v>
      </c>
      <c r="Z519" s="23" t="s">
        <v>167</v>
      </c>
      <c r="AD519" s="23" t="s">
        <v>1487</v>
      </c>
      <c r="AE519" s="23" t="s">
        <v>475</v>
      </c>
      <c r="AF519" s="152" t="s">
        <v>666</v>
      </c>
      <c r="AG519" s="23" t="s">
        <v>160</v>
      </c>
      <c r="AH519" s="155" t="s">
        <v>160</v>
      </c>
      <c r="AL519" s="23" t="s">
        <v>483</v>
      </c>
      <c r="AM519" s="23" t="s">
        <v>483</v>
      </c>
      <c r="AN519" s="23" t="s">
        <v>212</v>
      </c>
      <c r="AO519" s="23">
        <v>0</v>
      </c>
      <c r="AP519" s="23">
        <v>0</v>
      </c>
      <c r="AQ519" s="23" t="s">
        <v>212</v>
      </c>
      <c r="AR519" s="23" t="s">
        <v>192</v>
      </c>
      <c r="AS519" s="23">
        <v>4</v>
      </c>
      <c r="AT519" s="23">
        <v>4</v>
      </c>
      <c r="AU519" s="23" t="s">
        <v>379</v>
      </c>
      <c r="AW519" s="23">
        <f t="shared" ref="AW519" si="175">(6.4+1.9)*1000</f>
        <v>8300</v>
      </c>
      <c r="AX519" s="23">
        <f t="shared" ref="AX519" si="176">AW519/(110+27)</f>
        <v>60.583941605839414</v>
      </c>
      <c r="AY519" s="64" t="s">
        <v>486</v>
      </c>
      <c r="BM519" s="23">
        <v>6.4219999999999997</v>
      </c>
      <c r="BN519" s="23">
        <v>4.1399999999999997</v>
      </c>
      <c r="BO519" s="23" t="s">
        <v>484</v>
      </c>
      <c r="EJ519" s="12"/>
      <c r="EL519" s="15"/>
      <c r="FR519" s="23" t="s">
        <v>487</v>
      </c>
      <c r="FS519" s="23" t="s">
        <v>808</v>
      </c>
      <c r="FT519" s="23">
        <v>26</v>
      </c>
    </row>
    <row r="520" spans="1:176" s="23" customFormat="1" x14ac:dyDescent="0.25">
      <c r="A520" s="23">
        <v>26</v>
      </c>
      <c r="B520" s="23" t="s">
        <v>469</v>
      </c>
      <c r="C520" s="23" t="s">
        <v>470</v>
      </c>
      <c r="D520" s="23">
        <v>2015</v>
      </c>
      <c r="E520" s="23">
        <v>2012</v>
      </c>
      <c r="F520" s="23" t="s">
        <v>336</v>
      </c>
      <c r="G520" s="23" t="s">
        <v>472</v>
      </c>
      <c r="H520" s="23">
        <f t="shared" si="99"/>
        <v>35.22</v>
      </c>
      <c r="I520" s="23">
        <f t="shared" si="100"/>
        <v>-77.650000000000006</v>
      </c>
      <c r="J520" s="23">
        <v>22.4</v>
      </c>
      <c r="P520" s="53">
        <v>1</v>
      </c>
      <c r="Q520" s="53"/>
      <c r="R520" s="53" t="s">
        <v>482</v>
      </c>
      <c r="S520" s="53" t="s">
        <v>1558</v>
      </c>
      <c r="T520" s="53" t="s">
        <v>1558</v>
      </c>
      <c r="U520" s="53" t="s">
        <v>1558</v>
      </c>
      <c r="V520" s="53" t="s">
        <v>1905</v>
      </c>
      <c r="Z520" s="23" t="s">
        <v>167</v>
      </c>
      <c r="AD520" s="23" t="s">
        <v>1487</v>
      </c>
      <c r="AE520" s="23" t="s">
        <v>281</v>
      </c>
      <c r="AF520" s="152" t="s">
        <v>666</v>
      </c>
      <c r="AG520" s="23" t="s">
        <v>160</v>
      </c>
      <c r="AH520" s="155" t="s">
        <v>160</v>
      </c>
      <c r="AL520" s="23" t="s">
        <v>483</v>
      </c>
      <c r="AM520" s="23" t="s">
        <v>483</v>
      </c>
      <c r="AN520" s="23" t="s">
        <v>212</v>
      </c>
      <c r="AO520" s="23">
        <v>0</v>
      </c>
      <c r="AP520" s="23">
        <v>0</v>
      </c>
      <c r="AQ520" s="23" t="s">
        <v>212</v>
      </c>
      <c r="AR520" s="23" t="s">
        <v>192</v>
      </c>
      <c r="AS520" s="23">
        <v>4</v>
      </c>
      <c r="AT520" s="23">
        <v>4</v>
      </c>
      <c r="AU520" s="23" t="s">
        <v>379</v>
      </c>
      <c r="AW520" s="23">
        <f t="shared" ref="AW520" si="177">(6.5+1.8)*1000</f>
        <v>8300</v>
      </c>
      <c r="AX520" s="23">
        <f t="shared" ref="AX520" si="178">AW520/(175+47)</f>
        <v>37.387387387387385</v>
      </c>
      <c r="AY520" s="64" t="s">
        <v>486</v>
      </c>
      <c r="BM520" s="23">
        <v>6.4219999999999997</v>
      </c>
      <c r="BN520" s="23">
        <v>6.58</v>
      </c>
      <c r="BO520" s="23" t="s">
        <v>484</v>
      </c>
      <c r="EJ520" s="12"/>
      <c r="EL520" s="15"/>
      <c r="FR520" s="23" t="s">
        <v>487</v>
      </c>
      <c r="FS520" s="23" t="s">
        <v>808</v>
      </c>
      <c r="FT520" s="23">
        <v>26</v>
      </c>
    </row>
    <row r="521" spans="1:176" s="42" customFormat="1" x14ac:dyDescent="0.25">
      <c r="A521" s="42">
        <v>27</v>
      </c>
      <c r="B521" s="42" t="s">
        <v>489</v>
      </c>
      <c r="C521" s="42" t="s">
        <v>490</v>
      </c>
      <c r="D521" s="42">
        <v>2017</v>
      </c>
      <c r="E521" s="42">
        <v>2008</v>
      </c>
      <c r="F521" s="42" t="s">
        <v>491</v>
      </c>
      <c r="G521" s="42" t="s">
        <v>492</v>
      </c>
      <c r="H521" s="42">
        <f t="shared" ref="H521:H526" si="179">42+52/60</f>
        <v>42.866666666666667</v>
      </c>
      <c r="I521" s="42">
        <f t="shared" ref="I521:I526" si="180">-76-33/60</f>
        <v>-76.55</v>
      </c>
      <c r="J521" s="42">
        <v>255.8</v>
      </c>
      <c r="N521" s="42">
        <v>979</v>
      </c>
      <c r="P521" s="59">
        <v>5</v>
      </c>
      <c r="Q521" s="59"/>
      <c r="R521" s="59" t="s">
        <v>493</v>
      </c>
      <c r="S521" s="59" t="s">
        <v>1567</v>
      </c>
      <c r="T521" s="59" t="s">
        <v>1567</v>
      </c>
      <c r="U521" s="59" t="s">
        <v>1567</v>
      </c>
      <c r="V521" s="59" t="s">
        <v>1909</v>
      </c>
      <c r="Z521" s="42" t="s">
        <v>167</v>
      </c>
      <c r="AD521" s="42" t="s">
        <v>1488</v>
      </c>
      <c r="AE521" s="42" t="s">
        <v>727</v>
      </c>
      <c r="AF521" s="152" t="s">
        <v>727</v>
      </c>
      <c r="AG521" s="42" t="s">
        <v>258</v>
      </c>
      <c r="AH521" s="154" t="s">
        <v>1793</v>
      </c>
      <c r="AI521" s="42" t="s">
        <v>494</v>
      </c>
      <c r="AJ521" s="42" t="s">
        <v>494</v>
      </c>
      <c r="AK521" s="42" t="s">
        <v>212</v>
      </c>
      <c r="AO521" s="42" t="s">
        <v>495</v>
      </c>
      <c r="AP521" s="42" t="s">
        <v>495</v>
      </c>
      <c r="AQ521" s="42" t="s">
        <v>212</v>
      </c>
      <c r="AR521" s="42" t="s">
        <v>192</v>
      </c>
      <c r="AS521" s="42">
        <v>4</v>
      </c>
      <c r="AT521" s="42">
        <v>4</v>
      </c>
      <c r="AU521" s="42" t="s">
        <v>379</v>
      </c>
      <c r="AY521" s="63"/>
      <c r="BD521" s="42">
        <v>5611</v>
      </c>
      <c r="BE521" s="42">
        <v>5786</v>
      </c>
      <c r="DO521" s="42">
        <f>14.59*10</f>
        <v>145.9</v>
      </c>
      <c r="DP521" s="42">
        <v>152</v>
      </c>
      <c r="EJ521" s="12"/>
      <c r="EL521" s="15"/>
      <c r="FT521" s="42">
        <v>27</v>
      </c>
    </row>
    <row r="522" spans="1:176" s="42" customFormat="1" x14ac:dyDescent="0.25">
      <c r="A522" s="42">
        <v>27</v>
      </c>
      <c r="B522" s="42" t="s">
        <v>489</v>
      </c>
      <c r="C522" s="42" t="s">
        <v>490</v>
      </c>
      <c r="D522" s="42">
        <v>2017</v>
      </c>
      <c r="E522" s="42">
        <v>2008</v>
      </c>
      <c r="F522" s="42" t="s">
        <v>491</v>
      </c>
      <c r="G522" s="42" t="s">
        <v>492</v>
      </c>
      <c r="H522" s="42">
        <f t="shared" si="179"/>
        <v>42.866666666666667</v>
      </c>
      <c r="I522" s="42">
        <f t="shared" si="180"/>
        <v>-76.55</v>
      </c>
      <c r="J522" s="42">
        <v>255.8</v>
      </c>
      <c r="N522" s="42">
        <v>979</v>
      </c>
      <c r="P522" s="59">
        <v>5</v>
      </c>
      <c r="Q522" s="59"/>
      <c r="R522" s="59" t="s">
        <v>493</v>
      </c>
      <c r="S522" s="59" t="s">
        <v>1567</v>
      </c>
      <c r="T522" s="59" t="s">
        <v>1567</v>
      </c>
      <c r="U522" s="59" t="s">
        <v>1567</v>
      </c>
      <c r="V522" s="59" t="s">
        <v>1909</v>
      </c>
      <c r="Z522" s="42" t="s">
        <v>167</v>
      </c>
      <c r="AD522" s="42" t="s">
        <v>1488</v>
      </c>
      <c r="AE522" s="42" t="s">
        <v>727</v>
      </c>
      <c r="AF522" s="152" t="s">
        <v>727</v>
      </c>
      <c r="AG522" s="42" t="s">
        <v>258</v>
      </c>
      <c r="AH522" s="154" t="s">
        <v>1793</v>
      </c>
      <c r="AI522" s="42" t="s">
        <v>494</v>
      </c>
      <c r="AJ522" s="42" t="s">
        <v>494</v>
      </c>
      <c r="AK522" s="42" t="s">
        <v>212</v>
      </c>
      <c r="AO522" s="42" t="s">
        <v>495</v>
      </c>
      <c r="AP522" s="42" t="s">
        <v>495</v>
      </c>
      <c r="AQ522" s="42" t="s">
        <v>212</v>
      </c>
      <c r="AR522" s="42" t="s">
        <v>192</v>
      </c>
      <c r="AS522" s="42">
        <v>4</v>
      </c>
      <c r="AT522" s="42">
        <v>4</v>
      </c>
      <c r="AU522" s="42" t="s">
        <v>379</v>
      </c>
      <c r="AY522" s="63"/>
      <c r="BD522" s="42">
        <v>5611</v>
      </c>
      <c r="BE522" s="42">
        <v>6302</v>
      </c>
      <c r="DO522" s="42">
        <f t="shared" ref="DO522:DO523" si="181">14.59*10</f>
        <v>145.9</v>
      </c>
      <c r="DP522" s="42">
        <v>47.9</v>
      </c>
      <c r="EJ522" s="12"/>
      <c r="EL522" s="15"/>
      <c r="FT522" s="42">
        <v>27</v>
      </c>
    </row>
    <row r="523" spans="1:176" s="42" customFormat="1" x14ac:dyDescent="0.25">
      <c r="A523" s="42">
        <v>27</v>
      </c>
      <c r="B523" s="42" t="s">
        <v>489</v>
      </c>
      <c r="C523" s="42" t="s">
        <v>490</v>
      </c>
      <c r="D523" s="42">
        <v>2017</v>
      </c>
      <c r="E523" s="42">
        <v>2008</v>
      </c>
      <c r="F523" s="42" t="s">
        <v>491</v>
      </c>
      <c r="G523" s="42" t="s">
        <v>492</v>
      </c>
      <c r="H523" s="42">
        <f t="shared" si="179"/>
        <v>42.866666666666667</v>
      </c>
      <c r="I523" s="42">
        <f t="shared" si="180"/>
        <v>-76.55</v>
      </c>
      <c r="J523" s="42">
        <v>255.8</v>
      </c>
      <c r="N523" s="42">
        <v>979</v>
      </c>
      <c r="P523" s="59">
        <v>5</v>
      </c>
      <c r="Q523" s="59"/>
      <c r="R523" s="59" t="s">
        <v>493</v>
      </c>
      <c r="S523" s="59" t="s">
        <v>1567</v>
      </c>
      <c r="T523" s="59" t="s">
        <v>1567</v>
      </c>
      <c r="U523" s="59" t="s">
        <v>1567</v>
      </c>
      <c r="V523" s="59" t="s">
        <v>1909</v>
      </c>
      <c r="Z523" s="42" t="s">
        <v>167</v>
      </c>
      <c r="AD523" s="42" t="s">
        <v>1488</v>
      </c>
      <c r="AE523" s="42" t="s">
        <v>727</v>
      </c>
      <c r="AF523" s="152" t="s">
        <v>727</v>
      </c>
      <c r="AG523" s="42" t="s">
        <v>258</v>
      </c>
      <c r="AH523" s="154" t="s">
        <v>1793</v>
      </c>
      <c r="AI523" s="42" t="s">
        <v>494</v>
      </c>
      <c r="AJ523" s="42" t="s">
        <v>494</v>
      </c>
      <c r="AK523" s="42" t="s">
        <v>212</v>
      </c>
      <c r="AO523" s="42" t="s">
        <v>495</v>
      </c>
      <c r="AP523" s="42" t="s">
        <v>495</v>
      </c>
      <c r="AQ523" s="42" t="s">
        <v>212</v>
      </c>
      <c r="AR523" s="42" t="s">
        <v>192</v>
      </c>
      <c r="AS523" s="42">
        <v>4</v>
      </c>
      <c r="AT523" s="42">
        <v>4</v>
      </c>
      <c r="AU523" s="42" t="s">
        <v>379</v>
      </c>
      <c r="AY523" s="63"/>
      <c r="BD523" s="42">
        <v>5611</v>
      </c>
      <c r="BE523" s="42">
        <v>6477</v>
      </c>
      <c r="DO523" s="42">
        <f t="shared" si="181"/>
        <v>145.9</v>
      </c>
      <c r="DP523" s="42">
        <v>136.9</v>
      </c>
      <c r="EJ523" s="12"/>
      <c r="EL523" s="15"/>
      <c r="FT523" s="42">
        <v>27</v>
      </c>
    </row>
    <row r="524" spans="1:176" s="5" customFormat="1" x14ac:dyDescent="0.25">
      <c r="A524" s="42">
        <v>27</v>
      </c>
      <c r="B524" s="42" t="s">
        <v>489</v>
      </c>
      <c r="C524" s="42" t="s">
        <v>490</v>
      </c>
      <c r="D524" s="42">
        <v>2017</v>
      </c>
      <c r="E524" s="42">
        <v>2008</v>
      </c>
      <c r="F524" s="42" t="s">
        <v>491</v>
      </c>
      <c r="G524" s="42" t="s">
        <v>492</v>
      </c>
      <c r="H524" s="42">
        <f t="shared" si="179"/>
        <v>42.866666666666667</v>
      </c>
      <c r="I524" s="42">
        <f t="shared" si="180"/>
        <v>-76.55</v>
      </c>
      <c r="J524" s="42">
        <v>255.8</v>
      </c>
      <c r="K524" s="42"/>
      <c r="L524" s="42"/>
      <c r="M524" s="42"/>
      <c r="N524" s="42">
        <v>979</v>
      </c>
      <c r="O524" s="42"/>
      <c r="P524" s="59">
        <v>5</v>
      </c>
      <c r="Q524" s="59"/>
      <c r="R524" s="59" t="s">
        <v>493</v>
      </c>
      <c r="S524" s="59" t="s">
        <v>1567</v>
      </c>
      <c r="T524" s="59" t="s">
        <v>1567</v>
      </c>
      <c r="U524" s="59" t="s">
        <v>1567</v>
      </c>
      <c r="V524" s="59" t="s">
        <v>1909</v>
      </c>
      <c r="W524" s="42"/>
      <c r="X524" s="42"/>
      <c r="Y524" s="42"/>
      <c r="Z524" s="42" t="s">
        <v>167</v>
      </c>
      <c r="AA524" s="42"/>
      <c r="AB524" s="42"/>
      <c r="AC524" s="42"/>
      <c r="AD524" s="42" t="s">
        <v>1488</v>
      </c>
      <c r="AE524" s="42" t="s">
        <v>727</v>
      </c>
      <c r="AF524" s="152" t="s">
        <v>727</v>
      </c>
      <c r="AG524" s="42" t="s">
        <v>258</v>
      </c>
      <c r="AH524" s="154" t="s">
        <v>1793</v>
      </c>
      <c r="AI524" s="42" t="s">
        <v>494</v>
      </c>
      <c r="AJ524" s="42" t="s">
        <v>494</v>
      </c>
      <c r="AK524" s="42" t="s">
        <v>212</v>
      </c>
      <c r="AL524" s="42"/>
      <c r="AM524" s="42"/>
      <c r="AN524" s="42"/>
      <c r="AO524" s="42" t="s">
        <v>495</v>
      </c>
      <c r="AP524" s="42" t="s">
        <v>495</v>
      </c>
      <c r="AQ524" s="42" t="s">
        <v>212</v>
      </c>
      <c r="AR524" s="42" t="s">
        <v>192</v>
      </c>
      <c r="AS524" s="42">
        <v>4</v>
      </c>
      <c r="AT524" s="42">
        <v>4</v>
      </c>
      <c r="AU524" s="42" t="s">
        <v>379</v>
      </c>
      <c r="AV524" s="42"/>
      <c r="AY524" s="64"/>
      <c r="BD524" s="5">
        <v>4914</v>
      </c>
      <c r="BE524" s="5">
        <v>4623</v>
      </c>
      <c r="DO524" s="5">
        <v>237.5</v>
      </c>
      <c r="DP524" s="5">
        <v>233.61</v>
      </c>
      <c r="EJ524" s="12"/>
      <c r="EL524" s="15"/>
      <c r="FN524" s="42"/>
      <c r="FO524" s="42"/>
      <c r="FP524" s="42"/>
      <c r="FQ524" s="42"/>
      <c r="FT524" s="42">
        <v>27</v>
      </c>
    </row>
    <row r="525" spans="1:176" s="5" customFormat="1" x14ac:dyDescent="0.25">
      <c r="A525" s="42">
        <v>27</v>
      </c>
      <c r="B525" s="42" t="s">
        <v>489</v>
      </c>
      <c r="C525" s="42" t="s">
        <v>490</v>
      </c>
      <c r="D525" s="42">
        <v>2017</v>
      </c>
      <c r="E525" s="42">
        <v>2008</v>
      </c>
      <c r="F525" s="42" t="s">
        <v>491</v>
      </c>
      <c r="G525" s="42" t="s">
        <v>492</v>
      </c>
      <c r="H525" s="42">
        <f t="shared" si="179"/>
        <v>42.866666666666667</v>
      </c>
      <c r="I525" s="42">
        <f t="shared" si="180"/>
        <v>-76.55</v>
      </c>
      <c r="J525" s="42">
        <v>255.8</v>
      </c>
      <c r="K525" s="42"/>
      <c r="L525" s="42"/>
      <c r="M525" s="42"/>
      <c r="N525" s="42">
        <v>979</v>
      </c>
      <c r="O525" s="42"/>
      <c r="P525" s="59">
        <v>5</v>
      </c>
      <c r="Q525" s="59"/>
      <c r="R525" s="59" t="s">
        <v>493</v>
      </c>
      <c r="S525" s="59" t="s">
        <v>1567</v>
      </c>
      <c r="T525" s="59" t="s">
        <v>1567</v>
      </c>
      <c r="U525" s="59" t="s">
        <v>1567</v>
      </c>
      <c r="V525" s="59" t="s">
        <v>1909</v>
      </c>
      <c r="W525" s="42"/>
      <c r="X525" s="42"/>
      <c r="Y525" s="42"/>
      <c r="Z525" s="42" t="s">
        <v>167</v>
      </c>
      <c r="AA525" s="42"/>
      <c r="AB525" s="42"/>
      <c r="AC525" s="42"/>
      <c r="AD525" s="42" t="s">
        <v>1488</v>
      </c>
      <c r="AE525" s="42" t="s">
        <v>727</v>
      </c>
      <c r="AF525" s="152" t="s">
        <v>727</v>
      </c>
      <c r="AG525" s="42" t="s">
        <v>258</v>
      </c>
      <c r="AH525" s="154" t="s">
        <v>1793</v>
      </c>
      <c r="AI525" s="42" t="s">
        <v>494</v>
      </c>
      <c r="AJ525" s="42" t="s">
        <v>494</v>
      </c>
      <c r="AK525" s="42" t="s">
        <v>212</v>
      </c>
      <c r="AL525" s="42"/>
      <c r="AM525" s="42"/>
      <c r="AN525" s="42"/>
      <c r="AO525" s="42" t="s">
        <v>495</v>
      </c>
      <c r="AP525" s="42" t="s">
        <v>495</v>
      </c>
      <c r="AQ525" s="42" t="s">
        <v>212</v>
      </c>
      <c r="AR525" s="42" t="s">
        <v>192</v>
      </c>
      <c r="AS525" s="42">
        <v>4</v>
      </c>
      <c r="AT525" s="42">
        <v>4</v>
      </c>
      <c r="AU525" s="42" t="s">
        <v>379</v>
      </c>
      <c r="AV525" s="42"/>
      <c r="AY525" s="64"/>
      <c r="BD525" s="5">
        <v>4914</v>
      </c>
      <c r="BE525" s="5">
        <v>5501</v>
      </c>
      <c r="DO525" s="5">
        <v>237.5</v>
      </c>
      <c r="DP525" s="5">
        <v>54.49</v>
      </c>
      <c r="EJ525" s="12"/>
      <c r="EL525" s="15"/>
      <c r="FN525" s="42"/>
      <c r="FO525" s="42"/>
      <c r="FP525" s="42"/>
      <c r="FQ525" s="42"/>
      <c r="FT525" s="42">
        <v>27</v>
      </c>
    </row>
    <row r="526" spans="1:176" s="5" customFormat="1" x14ac:dyDescent="0.25">
      <c r="A526" s="42">
        <v>27</v>
      </c>
      <c r="B526" s="42" t="s">
        <v>489</v>
      </c>
      <c r="C526" s="42" t="s">
        <v>490</v>
      </c>
      <c r="D526" s="42">
        <v>2017</v>
      </c>
      <c r="E526" s="42">
        <v>2008</v>
      </c>
      <c r="F526" s="42" t="s">
        <v>491</v>
      </c>
      <c r="G526" s="42" t="s">
        <v>492</v>
      </c>
      <c r="H526" s="42">
        <f t="shared" si="179"/>
        <v>42.866666666666667</v>
      </c>
      <c r="I526" s="42">
        <f t="shared" si="180"/>
        <v>-76.55</v>
      </c>
      <c r="J526" s="42">
        <v>255.8</v>
      </c>
      <c r="K526" s="42"/>
      <c r="L526" s="42"/>
      <c r="M526" s="42"/>
      <c r="N526" s="42">
        <v>979</v>
      </c>
      <c r="O526" s="42"/>
      <c r="P526" s="59">
        <v>5</v>
      </c>
      <c r="Q526" s="59"/>
      <c r="R526" s="59" t="s">
        <v>493</v>
      </c>
      <c r="S526" s="59" t="s">
        <v>1567</v>
      </c>
      <c r="T526" s="59" t="s">
        <v>1567</v>
      </c>
      <c r="U526" s="59" t="s">
        <v>1567</v>
      </c>
      <c r="V526" s="59" t="s">
        <v>1909</v>
      </c>
      <c r="W526" s="42"/>
      <c r="X526" s="42"/>
      <c r="Y526" s="42"/>
      <c r="Z526" s="42" t="s">
        <v>167</v>
      </c>
      <c r="AA526" s="42"/>
      <c r="AB526" s="42"/>
      <c r="AC526" s="42"/>
      <c r="AD526" s="42" t="s">
        <v>1488</v>
      </c>
      <c r="AE526" s="42" t="s">
        <v>727</v>
      </c>
      <c r="AF526" s="152" t="s">
        <v>727</v>
      </c>
      <c r="AG526" s="42" t="s">
        <v>258</v>
      </c>
      <c r="AH526" s="154" t="s">
        <v>1793</v>
      </c>
      <c r="AI526" s="42" t="s">
        <v>494</v>
      </c>
      <c r="AJ526" s="42" t="s">
        <v>494</v>
      </c>
      <c r="AK526" s="42" t="s">
        <v>212</v>
      </c>
      <c r="AL526" s="42"/>
      <c r="AM526" s="42"/>
      <c r="AN526" s="42"/>
      <c r="AO526" s="42" t="s">
        <v>495</v>
      </c>
      <c r="AP526" s="42" t="s">
        <v>495</v>
      </c>
      <c r="AQ526" s="42" t="s">
        <v>212</v>
      </c>
      <c r="AR526" s="42" t="s">
        <v>192</v>
      </c>
      <c r="AS526" s="42">
        <v>4</v>
      </c>
      <c r="AT526" s="42">
        <v>4</v>
      </c>
      <c r="AU526" s="42" t="s">
        <v>379</v>
      </c>
      <c r="AV526" s="42"/>
      <c r="AY526" s="64"/>
      <c r="BD526" s="5">
        <v>4914</v>
      </c>
      <c r="BE526" s="5">
        <v>4918</v>
      </c>
      <c r="DO526" s="5">
        <v>237.5</v>
      </c>
      <c r="DP526" s="5">
        <v>216.05</v>
      </c>
      <c r="EJ526" s="12"/>
      <c r="EL526" s="15"/>
      <c r="FN526" s="42"/>
      <c r="FO526" s="42"/>
      <c r="FP526" s="42"/>
      <c r="FQ526" s="42"/>
      <c r="FT526" s="42">
        <v>27</v>
      </c>
    </row>
    <row r="527" spans="1:176" s="38" customFormat="1" x14ac:dyDescent="0.25">
      <c r="A527" s="38">
        <v>28</v>
      </c>
      <c r="B527" s="38" t="s">
        <v>496</v>
      </c>
      <c r="C527" s="38" t="s">
        <v>497</v>
      </c>
      <c r="D527" s="38">
        <v>2007</v>
      </c>
      <c r="E527" s="38">
        <v>2005</v>
      </c>
      <c r="F527" s="38" t="s">
        <v>498</v>
      </c>
      <c r="G527" s="38" t="s">
        <v>499</v>
      </c>
      <c r="H527" s="38">
        <f>39+13/60</f>
        <v>39.216666666666669</v>
      </c>
      <c r="I527" s="38">
        <f>-92-7/60</f>
        <v>-92.11666666666666</v>
      </c>
      <c r="J527" s="38">
        <v>262.2</v>
      </c>
      <c r="P527" s="57">
        <v>1</v>
      </c>
      <c r="Q527" s="57"/>
      <c r="R527" s="57" t="s">
        <v>239</v>
      </c>
      <c r="S527" s="57" t="s">
        <v>1564</v>
      </c>
      <c r="T527" s="57" t="s">
        <v>1564</v>
      </c>
      <c r="U527" s="57" t="s">
        <v>1565</v>
      </c>
      <c r="V527" s="57" t="s">
        <v>1907</v>
      </c>
      <c r="W527" s="38">
        <v>1.28</v>
      </c>
      <c r="X527" s="38">
        <f>100-Y527-(21.3+45.5+49.9+24.8+54.6+42.9+23+38.3+39.7)/9</f>
        <v>5.2555555555555529</v>
      </c>
      <c r="Y527" s="38">
        <f>(70.3+50.2+49+65.8+42.8+55.3+69.2+55.7+54.4)/9</f>
        <v>56.966666666666669</v>
      </c>
      <c r="Z527" s="38" t="s">
        <v>500</v>
      </c>
      <c r="AA527" s="38">
        <f>(5.9+5+5+6.1+4.9+5.1+5.9+5.1+5.1)/9</f>
        <v>5.344444444444445</v>
      </c>
      <c r="AB527" s="38">
        <f>(1+0.9+0.7+1+0.9+0.4+1+0.9+0.5)/9</f>
        <v>0.81111111111111123</v>
      </c>
      <c r="AD527" s="38" t="s">
        <v>1489</v>
      </c>
      <c r="AE527" s="38" t="s">
        <v>1714</v>
      </c>
      <c r="AF527" s="152" t="s">
        <v>666</v>
      </c>
      <c r="AG527" s="38" t="s">
        <v>1767</v>
      </c>
      <c r="AH527" s="155" t="s">
        <v>1802</v>
      </c>
      <c r="AI527" s="38" t="s">
        <v>501</v>
      </c>
      <c r="AJ527" s="38" t="s">
        <v>501</v>
      </c>
      <c r="AK527" s="38" t="s">
        <v>212</v>
      </c>
      <c r="AL527" s="38" t="s">
        <v>502</v>
      </c>
      <c r="AM527" s="38" t="s">
        <v>188</v>
      </c>
      <c r="AN527" s="38" t="s">
        <v>587</v>
      </c>
      <c r="AO527" s="38" t="s">
        <v>504</v>
      </c>
      <c r="AP527" s="38" t="s">
        <v>503</v>
      </c>
      <c r="AQ527" s="38" t="s">
        <v>587</v>
      </c>
      <c r="AR527" s="38" t="s">
        <v>192</v>
      </c>
      <c r="AS527" s="38">
        <v>3</v>
      </c>
      <c r="AT527" s="38">
        <v>3</v>
      </c>
      <c r="AU527" s="38" t="s">
        <v>379</v>
      </c>
      <c r="AY527" s="64"/>
      <c r="BG527" s="38">
        <v>1.24</v>
      </c>
      <c r="BH527" s="38">
        <v>1.24</v>
      </c>
      <c r="CK527" s="38">
        <v>0.03</v>
      </c>
      <c r="CL527" s="38">
        <v>2.8000000000000001E-2</v>
      </c>
      <c r="CM527" s="38" t="s">
        <v>506</v>
      </c>
      <c r="CT527" s="38">
        <f>10^(1.0005)</f>
        <v>10.011519555381691</v>
      </c>
      <c r="CU527" s="38">
        <f>10^1.3276</f>
        <v>21.261798598625219</v>
      </c>
      <c r="DI527" s="38">
        <v>0.4743</v>
      </c>
      <c r="DJ527" s="38">
        <v>0.4919</v>
      </c>
      <c r="DK527" s="38" t="s">
        <v>505</v>
      </c>
      <c r="EJ527" s="12"/>
      <c r="EL527" s="15"/>
      <c r="FR527" s="38" t="s">
        <v>990</v>
      </c>
      <c r="FT527" s="38">
        <v>28</v>
      </c>
    </row>
    <row r="528" spans="1:176" s="38" customFormat="1" x14ac:dyDescent="0.25">
      <c r="A528" s="38">
        <v>28</v>
      </c>
      <c r="B528" s="38" t="s">
        <v>496</v>
      </c>
      <c r="C528" s="38" t="s">
        <v>497</v>
      </c>
      <c r="D528" s="38">
        <v>2007</v>
      </c>
      <c r="E528" s="38">
        <v>2005</v>
      </c>
      <c r="F528" s="38" t="s">
        <v>498</v>
      </c>
      <c r="G528" s="38" t="s">
        <v>499</v>
      </c>
      <c r="H528" s="38">
        <f>39+13/60</f>
        <v>39.216666666666669</v>
      </c>
      <c r="I528" s="38">
        <f>-92-7/60</f>
        <v>-92.11666666666666</v>
      </c>
      <c r="J528" s="38">
        <v>262.2</v>
      </c>
      <c r="P528" s="57">
        <v>1</v>
      </c>
      <c r="Q528" s="57"/>
      <c r="R528" s="57" t="s">
        <v>239</v>
      </c>
      <c r="S528" s="57" t="s">
        <v>1568</v>
      </c>
      <c r="T528" s="57" t="s">
        <v>1564</v>
      </c>
      <c r="U528" s="57" t="s">
        <v>1565</v>
      </c>
      <c r="V528" s="57" t="s">
        <v>1907</v>
      </c>
      <c r="W528" s="38">
        <v>1.28</v>
      </c>
      <c r="X528" s="38">
        <f>100-Y528-(21.3+45.5+49.9+24.8+54.6+42.9+23+38.3+39.7)/9</f>
        <v>5.2555555555555529</v>
      </c>
      <c r="Y528" s="38">
        <f>(70.3+50.2+49+65.8+42.8+55.3+69.2+55.7+54.4)/9</f>
        <v>56.966666666666669</v>
      </c>
      <c r="Z528" s="38" t="s">
        <v>500</v>
      </c>
      <c r="AA528" s="38">
        <f>(5.9+5+5+6.1+4.9+5.1+5.9+5.1+5.1)/9</f>
        <v>5.344444444444445</v>
      </c>
      <c r="AB528" s="38">
        <f t="shared" ref="AB528:AB529" si="182">(1+0.9+0.7+1+0.9+0.4+1+0.9+0.5)/9</f>
        <v>0.81111111111111123</v>
      </c>
      <c r="AD528" s="38" t="s">
        <v>1489</v>
      </c>
      <c r="AE528" s="38" t="s">
        <v>1714</v>
      </c>
      <c r="AF528" s="152" t="s">
        <v>666</v>
      </c>
      <c r="AG528" s="38" t="s">
        <v>1767</v>
      </c>
      <c r="AH528" s="155" t="s">
        <v>1802</v>
      </c>
      <c r="AI528" s="38" t="s">
        <v>501</v>
      </c>
      <c r="AJ528" s="38" t="s">
        <v>501</v>
      </c>
      <c r="AK528" s="38" t="s">
        <v>212</v>
      </c>
      <c r="AL528" s="38" t="s">
        <v>502</v>
      </c>
      <c r="AM528" s="38" t="s">
        <v>188</v>
      </c>
      <c r="AN528" s="38" t="s">
        <v>587</v>
      </c>
      <c r="AO528" s="38" t="s">
        <v>504</v>
      </c>
      <c r="AP528" s="38" t="s">
        <v>503</v>
      </c>
      <c r="AQ528" s="38" t="s">
        <v>587</v>
      </c>
      <c r="AR528" s="38" t="s">
        <v>192</v>
      </c>
      <c r="AS528" s="38">
        <v>3</v>
      </c>
      <c r="AT528" s="38">
        <v>3</v>
      </c>
      <c r="AU528" s="38" t="s">
        <v>379</v>
      </c>
      <c r="AY528" s="64"/>
      <c r="BG528" s="38">
        <v>1.36</v>
      </c>
      <c r="BH528" s="38">
        <v>1.38</v>
      </c>
      <c r="CK528" s="38">
        <v>2.8000000000000001E-2</v>
      </c>
      <c r="CL528" s="38">
        <v>2.5999999999999999E-2</v>
      </c>
      <c r="CM528" s="38" t="s">
        <v>506</v>
      </c>
      <c r="CT528" s="38">
        <f>10^0.7856</f>
        <v>6.1037958555853074</v>
      </c>
      <c r="CU528" s="38">
        <f>10^1.2941</f>
        <v>19.683394644420513</v>
      </c>
      <c r="DI528" s="38">
        <v>0.4672</v>
      </c>
      <c r="DJ528" s="38">
        <v>0.47420000000000001</v>
      </c>
      <c r="DK528" s="38" t="s">
        <v>505</v>
      </c>
      <c r="EJ528" s="12"/>
      <c r="EL528" s="15"/>
      <c r="FR528" s="38" t="s">
        <v>990</v>
      </c>
      <c r="FT528" s="38">
        <v>28</v>
      </c>
    </row>
    <row r="529" spans="1:176" s="38" customFormat="1" x14ac:dyDescent="0.25">
      <c r="A529" s="38">
        <v>28</v>
      </c>
      <c r="B529" s="38" t="s">
        <v>496</v>
      </c>
      <c r="C529" s="38" t="s">
        <v>497</v>
      </c>
      <c r="D529" s="38">
        <v>2007</v>
      </c>
      <c r="E529" s="38">
        <v>2005</v>
      </c>
      <c r="F529" s="38" t="s">
        <v>498</v>
      </c>
      <c r="G529" s="38" t="s">
        <v>499</v>
      </c>
      <c r="H529" s="38">
        <f>39+13/60</f>
        <v>39.216666666666669</v>
      </c>
      <c r="I529" s="38">
        <f>-92-7/60</f>
        <v>-92.11666666666666</v>
      </c>
      <c r="J529" s="38">
        <v>262.2</v>
      </c>
      <c r="P529" s="57">
        <v>1</v>
      </c>
      <c r="Q529" s="57"/>
      <c r="R529" s="57" t="s">
        <v>239</v>
      </c>
      <c r="S529" s="57" t="s">
        <v>1569</v>
      </c>
      <c r="T529" s="57" t="s">
        <v>1564</v>
      </c>
      <c r="U529" s="57" t="s">
        <v>1565</v>
      </c>
      <c r="V529" s="57" t="s">
        <v>1907</v>
      </c>
      <c r="W529" s="38">
        <v>1.28</v>
      </c>
      <c r="X529" s="38">
        <f>100-Y529-(21.3+45.5+49.9+24.8+54.6+42.9+23+38.3+39.7)/9</f>
        <v>5.2555555555555529</v>
      </c>
      <c r="Y529" s="38">
        <f>(70.3+50.2+49+65.8+42.8+55.3+69.2+55.7+54.4)/9</f>
        <v>56.966666666666669</v>
      </c>
      <c r="Z529" s="38" t="s">
        <v>500</v>
      </c>
      <c r="AA529" s="38">
        <f>(5.9+5+5+6.1+4.9+5.1+5.9+5.1+5.1)/9</f>
        <v>5.344444444444445</v>
      </c>
      <c r="AB529" s="38">
        <f t="shared" si="182"/>
        <v>0.81111111111111123</v>
      </c>
      <c r="AD529" s="38" t="s">
        <v>1489</v>
      </c>
      <c r="AE529" s="38" t="s">
        <v>1714</v>
      </c>
      <c r="AF529" s="152" t="s">
        <v>666</v>
      </c>
      <c r="AG529" s="38" t="s">
        <v>1767</v>
      </c>
      <c r="AH529" s="155" t="s">
        <v>1802</v>
      </c>
      <c r="AI529" s="38" t="s">
        <v>501</v>
      </c>
      <c r="AJ529" s="38" t="s">
        <v>501</v>
      </c>
      <c r="AK529" s="38" t="s">
        <v>212</v>
      </c>
      <c r="AL529" s="38" t="s">
        <v>502</v>
      </c>
      <c r="AM529" s="38" t="s">
        <v>188</v>
      </c>
      <c r="AN529" s="38" t="s">
        <v>587</v>
      </c>
      <c r="AO529" s="38" t="s">
        <v>504</v>
      </c>
      <c r="AP529" s="38" t="s">
        <v>503</v>
      </c>
      <c r="AQ529" s="38" t="s">
        <v>587</v>
      </c>
      <c r="AR529" s="38" t="s">
        <v>192</v>
      </c>
      <c r="AS529" s="38">
        <v>3</v>
      </c>
      <c r="AT529" s="38">
        <v>3</v>
      </c>
      <c r="AU529" s="38" t="s">
        <v>379</v>
      </c>
      <c r="AY529" s="64"/>
      <c r="BG529" s="38">
        <v>1.22</v>
      </c>
      <c r="BH529" s="38">
        <v>1.25</v>
      </c>
      <c r="CK529" s="38">
        <v>2.8000000000000001E-2</v>
      </c>
      <c r="CL529" s="38">
        <v>1.9E-2</v>
      </c>
      <c r="CM529" s="38" t="s">
        <v>506</v>
      </c>
      <c r="CT529" s="38">
        <f>10^0.0959</f>
        <v>1.2470963266393924</v>
      </c>
      <c r="CU529" s="38">
        <f>10^0.5215</f>
        <v>3.3227678521107569</v>
      </c>
      <c r="DI529" s="38">
        <v>0.53639999999999999</v>
      </c>
      <c r="DJ529" s="38">
        <v>0.51890000000000003</v>
      </c>
      <c r="DK529" s="38" t="s">
        <v>505</v>
      </c>
      <c r="EJ529" s="12"/>
      <c r="EL529" s="15"/>
      <c r="FR529" s="38" t="s">
        <v>990</v>
      </c>
      <c r="FT529" s="38">
        <v>28</v>
      </c>
    </row>
    <row r="530" spans="1:176" s="39" customFormat="1" x14ac:dyDescent="0.25">
      <c r="A530" s="39">
        <v>29</v>
      </c>
      <c r="B530" s="39" t="s">
        <v>1171</v>
      </c>
      <c r="C530" s="39" t="s">
        <v>507</v>
      </c>
      <c r="D530" s="39">
        <v>2009</v>
      </c>
      <c r="E530" s="39">
        <v>2006</v>
      </c>
      <c r="F530" s="39" t="s">
        <v>342</v>
      </c>
      <c r="G530" s="39" t="s">
        <v>508</v>
      </c>
      <c r="H530" s="39">
        <f t="shared" ref="H530:H565" si="183">43+20/60</f>
        <v>43.333333333333336</v>
      </c>
      <c r="I530" s="39">
        <f t="shared" ref="I530:I565" si="184">-89-43/60</f>
        <v>-89.716666666666669</v>
      </c>
      <c r="J530" s="39">
        <v>250</v>
      </c>
      <c r="P530" s="58">
        <v>4</v>
      </c>
      <c r="Q530" s="58"/>
      <c r="R530" s="58"/>
      <c r="S530" s="58" t="s">
        <v>1570</v>
      </c>
      <c r="T530" s="58" t="s">
        <v>1570</v>
      </c>
      <c r="U530" s="58" t="s">
        <v>1565</v>
      </c>
      <c r="V530" s="58" t="s">
        <v>1910</v>
      </c>
      <c r="W530" s="39">
        <f t="shared" ref="W530:W565" si="185">(1.4+1.46+1.41+1.37+1.39+1.47+1.42)/7</f>
        <v>1.417142857142857</v>
      </c>
      <c r="Z530" s="39" t="s">
        <v>531</v>
      </c>
      <c r="AA530" s="39">
        <f t="shared" ref="AA530:AA565" si="186">(6.6+6.9+7+6.8+7.1+6.7+7)/7</f>
        <v>6.8714285714285719</v>
      </c>
      <c r="AD530" s="39" t="s">
        <v>1490</v>
      </c>
      <c r="AE530" s="39" t="s">
        <v>1715</v>
      </c>
      <c r="AF530" s="152" t="s">
        <v>666</v>
      </c>
      <c r="AG530" s="39" t="s">
        <v>509</v>
      </c>
      <c r="AH530" s="154" t="s">
        <v>1802</v>
      </c>
      <c r="AI530" s="39" t="s">
        <v>501</v>
      </c>
      <c r="AJ530" s="39" t="s">
        <v>501</v>
      </c>
      <c r="AK530" s="39" t="s">
        <v>212</v>
      </c>
      <c r="AO530" s="39" t="s">
        <v>517</v>
      </c>
      <c r="AP530" s="39" t="s">
        <v>517</v>
      </c>
      <c r="AR530" s="39" t="s">
        <v>510</v>
      </c>
      <c r="AS530" s="39">
        <v>4</v>
      </c>
      <c r="AT530" s="39">
        <v>4</v>
      </c>
      <c r="AU530" s="39" t="s">
        <v>169</v>
      </c>
      <c r="AY530" s="63"/>
      <c r="BG530" s="39">
        <v>1.47</v>
      </c>
      <c r="BH530" s="39">
        <v>1.4</v>
      </c>
      <c r="BJ530" s="39">
        <v>3.63</v>
      </c>
      <c r="BK530" s="39">
        <v>4.2299999999999995</v>
      </c>
      <c r="BL530" s="39" t="s">
        <v>1854</v>
      </c>
      <c r="BP530" s="39">
        <v>45.8</v>
      </c>
      <c r="BQ530" s="39">
        <v>37.799999999999997</v>
      </c>
      <c r="BS530" s="39">
        <v>244</v>
      </c>
      <c r="BT530" s="39">
        <v>204</v>
      </c>
      <c r="BV530" s="39">
        <v>6.7</v>
      </c>
      <c r="BW530" s="39">
        <v>6.6</v>
      </c>
      <c r="CH530" s="39">
        <v>336</v>
      </c>
      <c r="CI530" s="39">
        <v>365</v>
      </c>
      <c r="CJ530" s="39" t="s">
        <v>513</v>
      </c>
      <c r="CN530" s="39">
        <v>0.52980000000000005</v>
      </c>
      <c r="CO530" s="39">
        <v>0.61539999999999995</v>
      </c>
      <c r="CP530" s="39" t="s">
        <v>987</v>
      </c>
      <c r="DI530" s="39">
        <v>0.21</v>
      </c>
      <c r="DJ530" s="39">
        <v>0.26800000000000002</v>
      </c>
      <c r="EJ530" s="12"/>
      <c r="EL530" s="15"/>
      <c r="EM530" s="39">
        <v>1288</v>
      </c>
      <c r="EN530" s="39">
        <v>1376</v>
      </c>
      <c r="EO530" s="39" t="s">
        <v>512</v>
      </c>
      <c r="FH530" s="39">
        <f>40.3*0.012</f>
        <v>0.48359999999999997</v>
      </c>
      <c r="FI530" s="39">
        <f>87.1*0.012</f>
        <v>1.0451999999999999</v>
      </c>
      <c r="FJ530" s="39" t="s">
        <v>1119</v>
      </c>
      <c r="FO530" s="39">
        <v>99999</v>
      </c>
      <c r="FR530" s="39" t="s">
        <v>515</v>
      </c>
      <c r="FS530" s="39" t="s">
        <v>986</v>
      </c>
      <c r="FT530" s="39">
        <v>29</v>
      </c>
    </row>
    <row r="531" spans="1:176" s="39" customFormat="1" x14ac:dyDescent="0.25">
      <c r="A531" s="39">
        <v>29</v>
      </c>
      <c r="B531" s="39" t="s">
        <v>1171</v>
      </c>
      <c r="C531" s="39" t="s">
        <v>507</v>
      </c>
      <c r="D531" s="39">
        <v>2009</v>
      </c>
      <c r="E531" s="39">
        <v>2006</v>
      </c>
      <c r="F531" s="39" t="s">
        <v>342</v>
      </c>
      <c r="G531" s="39" t="s">
        <v>508</v>
      </c>
      <c r="H531" s="39">
        <f t="shared" si="183"/>
        <v>43.333333333333336</v>
      </c>
      <c r="I531" s="39">
        <f t="shared" si="184"/>
        <v>-89.716666666666669</v>
      </c>
      <c r="J531" s="39">
        <v>250</v>
      </c>
      <c r="P531" s="58">
        <v>4</v>
      </c>
      <c r="Q531" s="58"/>
      <c r="R531" s="58"/>
      <c r="S531" s="58" t="s">
        <v>1570</v>
      </c>
      <c r="T531" s="58" t="s">
        <v>1570</v>
      </c>
      <c r="U531" s="58" t="s">
        <v>1565</v>
      </c>
      <c r="V531" s="58" t="s">
        <v>1910</v>
      </c>
      <c r="W531" s="39">
        <f t="shared" si="185"/>
        <v>1.417142857142857</v>
      </c>
      <c r="Z531" s="39" t="s">
        <v>531</v>
      </c>
      <c r="AA531" s="39">
        <f t="shared" si="186"/>
        <v>6.8714285714285719</v>
      </c>
      <c r="AD531" s="39" t="s">
        <v>1490</v>
      </c>
      <c r="AE531" s="39" t="s">
        <v>1715</v>
      </c>
      <c r="AF531" s="152" t="s">
        <v>666</v>
      </c>
      <c r="AG531" s="39" t="s">
        <v>160</v>
      </c>
      <c r="AH531" s="154" t="s">
        <v>1802</v>
      </c>
      <c r="AI531" s="39" t="s">
        <v>501</v>
      </c>
      <c r="AJ531" s="39" t="s">
        <v>501</v>
      </c>
      <c r="AK531" s="39" t="s">
        <v>212</v>
      </c>
      <c r="AO531" s="39" t="s">
        <v>517</v>
      </c>
      <c r="AP531" s="39" t="s">
        <v>517</v>
      </c>
      <c r="AR531" s="39" t="s">
        <v>510</v>
      </c>
      <c r="AS531" s="39">
        <v>4</v>
      </c>
      <c r="AT531" s="39">
        <v>4</v>
      </c>
      <c r="AU531" s="39" t="s">
        <v>169</v>
      </c>
      <c r="AY531" s="63"/>
      <c r="BG531" s="39">
        <v>1.47</v>
      </c>
      <c r="BH531" s="39">
        <v>1.4</v>
      </c>
      <c r="BJ531" s="39">
        <v>3.63</v>
      </c>
      <c r="BK531" s="39">
        <v>4.2799999999999994</v>
      </c>
      <c r="BL531" s="39" t="s">
        <v>1854</v>
      </c>
      <c r="BP531" s="39">
        <v>45.8</v>
      </c>
      <c r="BQ531" s="39">
        <v>42.3</v>
      </c>
      <c r="BS531" s="39">
        <v>244</v>
      </c>
      <c r="BT531" s="39">
        <v>269</v>
      </c>
      <c r="BV531" s="39">
        <v>6.7</v>
      </c>
      <c r="BW531" s="39">
        <v>6.9</v>
      </c>
      <c r="CH531" s="39">
        <v>336</v>
      </c>
      <c r="CI531" s="39">
        <v>385</v>
      </c>
      <c r="CJ531" s="39" t="s">
        <v>513</v>
      </c>
      <c r="CN531" s="39">
        <v>0.52980000000000005</v>
      </c>
      <c r="CO531" s="39">
        <v>0.6</v>
      </c>
      <c r="CP531" s="39" t="s">
        <v>987</v>
      </c>
      <c r="DI531" s="39">
        <v>0.21</v>
      </c>
      <c r="DJ531" s="39">
        <v>0.24399999999999999</v>
      </c>
      <c r="EJ531" s="12"/>
      <c r="EL531" s="15"/>
      <c r="EM531" s="39">
        <v>1288</v>
      </c>
      <c r="EN531" s="39">
        <v>1379</v>
      </c>
      <c r="EO531" s="39" t="s">
        <v>512</v>
      </c>
      <c r="FH531" s="39">
        <f t="shared" ref="FH531:FH535" si="187">40.3*0.012</f>
        <v>0.48359999999999997</v>
      </c>
      <c r="FI531" s="39">
        <f>108.2*0.012</f>
        <v>1.2984</v>
      </c>
      <c r="FJ531" s="39" t="s">
        <v>1119</v>
      </c>
      <c r="FO531" s="39">
        <v>99999</v>
      </c>
      <c r="FR531" s="39" t="s">
        <v>515</v>
      </c>
      <c r="FS531" s="39" t="s">
        <v>986</v>
      </c>
      <c r="FT531" s="39">
        <v>29</v>
      </c>
    </row>
    <row r="532" spans="1:176" s="39" customFormat="1" x14ac:dyDescent="0.25">
      <c r="A532" s="39">
        <v>29</v>
      </c>
      <c r="B532" s="39" t="s">
        <v>1171</v>
      </c>
      <c r="C532" s="39" t="s">
        <v>507</v>
      </c>
      <c r="D532" s="39">
        <v>2009</v>
      </c>
      <c r="E532" s="39">
        <v>2006</v>
      </c>
      <c r="F532" s="39" t="s">
        <v>342</v>
      </c>
      <c r="G532" s="39" t="s">
        <v>508</v>
      </c>
      <c r="H532" s="39">
        <f t="shared" si="183"/>
        <v>43.333333333333336</v>
      </c>
      <c r="I532" s="39">
        <f t="shared" si="184"/>
        <v>-89.716666666666669</v>
      </c>
      <c r="J532" s="39">
        <v>250</v>
      </c>
      <c r="P532" s="58">
        <v>4</v>
      </c>
      <c r="Q532" s="58"/>
      <c r="R532" s="58"/>
      <c r="S532" s="58" t="s">
        <v>1570</v>
      </c>
      <c r="T532" s="58" t="s">
        <v>1570</v>
      </c>
      <c r="U532" s="58" t="s">
        <v>1565</v>
      </c>
      <c r="V532" s="58" t="s">
        <v>1910</v>
      </c>
      <c r="W532" s="39">
        <f t="shared" si="185"/>
        <v>1.417142857142857</v>
      </c>
      <c r="Z532" s="39" t="s">
        <v>531</v>
      </c>
      <c r="AA532" s="39">
        <f t="shared" si="186"/>
        <v>6.8714285714285719</v>
      </c>
      <c r="AD532" s="39" t="s">
        <v>1490</v>
      </c>
      <c r="AE532" s="39" t="s">
        <v>1695</v>
      </c>
      <c r="AF532" s="152" t="s">
        <v>666</v>
      </c>
      <c r="AG532" s="39" t="s">
        <v>509</v>
      </c>
      <c r="AH532" s="154" t="s">
        <v>1802</v>
      </c>
      <c r="AI532" s="39" t="s">
        <v>501</v>
      </c>
      <c r="AJ532" s="39" t="s">
        <v>501</v>
      </c>
      <c r="AK532" s="39" t="s">
        <v>212</v>
      </c>
      <c r="AO532" s="39" t="s">
        <v>517</v>
      </c>
      <c r="AP532" s="39" t="s">
        <v>517</v>
      </c>
      <c r="AR532" s="39" t="s">
        <v>510</v>
      </c>
      <c r="AS532" s="39">
        <v>4</v>
      </c>
      <c r="AT532" s="39">
        <v>4</v>
      </c>
      <c r="AU532" s="39" t="s">
        <v>169</v>
      </c>
      <c r="AY532" s="63"/>
      <c r="BG532" s="39">
        <v>1.47</v>
      </c>
      <c r="BH532" s="39">
        <v>1.46</v>
      </c>
      <c r="BJ532" s="39">
        <v>3.63</v>
      </c>
      <c r="BK532" s="39">
        <v>3.8299999999999996</v>
      </c>
      <c r="BL532" s="39" t="s">
        <v>1854</v>
      </c>
      <c r="BP532" s="39">
        <v>45.8</v>
      </c>
      <c r="BQ532" s="39">
        <v>37.299999999999997</v>
      </c>
      <c r="BS532" s="39">
        <v>244</v>
      </c>
      <c r="BT532" s="39">
        <v>161</v>
      </c>
      <c r="BV532" s="39">
        <v>6.7</v>
      </c>
      <c r="BW532" s="39">
        <v>6.6</v>
      </c>
      <c r="CH532" s="39">
        <v>336</v>
      </c>
      <c r="CI532" s="39">
        <v>337</v>
      </c>
      <c r="CJ532" s="39" t="s">
        <v>513</v>
      </c>
      <c r="CN532" s="39">
        <v>0.52980000000000005</v>
      </c>
      <c r="CO532" s="39">
        <v>0.63</v>
      </c>
      <c r="CP532" s="39" t="s">
        <v>987</v>
      </c>
      <c r="DI532" s="39">
        <v>0.21</v>
      </c>
      <c r="DJ532" s="39">
        <v>0.23799999999999999</v>
      </c>
      <c r="EJ532" s="12"/>
      <c r="EL532" s="15"/>
      <c r="EM532" s="39">
        <v>1288</v>
      </c>
      <c r="EN532" s="39">
        <v>1336</v>
      </c>
      <c r="EO532" s="39" t="s">
        <v>512</v>
      </c>
      <c r="FH532" s="39">
        <f t="shared" si="187"/>
        <v>0.48359999999999997</v>
      </c>
      <c r="FI532" s="39">
        <f>105*0.012</f>
        <v>1.26</v>
      </c>
      <c r="FJ532" s="39" t="s">
        <v>1119</v>
      </c>
      <c r="FO532" s="39">
        <v>99999</v>
      </c>
      <c r="FR532" s="39" t="s">
        <v>515</v>
      </c>
      <c r="FS532" s="39" t="s">
        <v>986</v>
      </c>
      <c r="FT532" s="39">
        <v>29</v>
      </c>
    </row>
    <row r="533" spans="1:176" s="39" customFormat="1" x14ac:dyDescent="0.25">
      <c r="A533" s="39">
        <v>29</v>
      </c>
      <c r="B533" s="39" t="s">
        <v>1171</v>
      </c>
      <c r="C533" s="39" t="s">
        <v>507</v>
      </c>
      <c r="D533" s="39">
        <v>2009</v>
      </c>
      <c r="E533" s="39">
        <v>2006</v>
      </c>
      <c r="F533" s="39" t="s">
        <v>342</v>
      </c>
      <c r="G533" s="39" t="s">
        <v>508</v>
      </c>
      <c r="H533" s="39">
        <f t="shared" si="183"/>
        <v>43.333333333333336</v>
      </c>
      <c r="I533" s="39">
        <f t="shared" si="184"/>
        <v>-89.716666666666669</v>
      </c>
      <c r="J533" s="39">
        <v>250</v>
      </c>
      <c r="P533" s="58">
        <v>4</v>
      </c>
      <c r="Q533" s="58"/>
      <c r="R533" s="58"/>
      <c r="S533" s="58" t="s">
        <v>1570</v>
      </c>
      <c r="T533" s="58" t="s">
        <v>1570</v>
      </c>
      <c r="U533" s="58" t="s">
        <v>1565</v>
      </c>
      <c r="V533" s="58" t="s">
        <v>1910</v>
      </c>
      <c r="W533" s="39">
        <f t="shared" si="185"/>
        <v>1.417142857142857</v>
      </c>
      <c r="Z533" s="39" t="s">
        <v>531</v>
      </c>
      <c r="AA533" s="39">
        <f t="shared" si="186"/>
        <v>6.8714285714285719</v>
      </c>
      <c r="AD533" s="39" t="s">
        <v>1490</v>
      </c>
      <c r="AE533" s="39" t="s">
        <v>1695</v>
      </c>
      <c r="AF533" s="152" t="s">
        <v>666</v>
      </c>
      <c r="AG533" s="39" t="s">
        <v>160</v>
      </c>
      <c r="AH533" s="154" t="s">
        <v>1802</v>
      </c>
      <c r="AI533" s="39" t="s">
        <v>501</v>
      </c>
      <c r="AJ533" s="39" t="s">
        <v>501</v>
      </c>
      <c r="AK533" s="39" t="s">
        <v>212</v>
      </c>
      <c r="AO533" s="39" t="s">
        <v>517</v>
      </c>
      <c r="AP533" s="39" t="s">
        <v>517</v>
      </c>
      <c r="AR533" s="39" t="s">
        <v>510</v>
      </c>
      <c r="AS533" s="39">
        <v>4</v>
      </c>
      <c r="AT533" s="39">
        <v>4</v>
      </c>
      <c r="AU533" s="39" t="s">
        <v>169</v>
      </c>
      <c r="AY533" s="63"/>
      <c r="BG533" s="39">
        <v>1.47</v>
      </c>
      <c r="BH533" s="39">
        <v>1.41</v>
      </c>
      <c r="BJ533" s="39">
        <v>3.63</v>
      </c>
      <c r="BK533" s="39">
        <v>4.2299999999999995</v>
      </c>
      <c r="BL533" s="39" t="s">
        <v>1854</v>
      </c>
      <c r="BP533" s="39">
        <v>45.8</v>
      </c>
      <c r="BQ533" s="39">
        <v>54.5</v>
      </c>
      <c r="BS533" s="39">
        <v>244</v>
      </c>
      <c r="BT533" s="39">
        <v>204</v>
      </c>
      <c r="BV533" s="39">
        <v>6.7</v>
      </c>
      <c r="BW533" s="39">
        <v>7</v>
      </c>
      <c r="CH533" s="39">
        <v>336</v>
      </c>
      <c r="CI533" s="39">
        <v>368</v>
      </c>
      <c r="CJ533" s="39" t="s">
        <v>513</v>
      </c>
      <c r="CN533" s="39">
        <v>0.52980000000000005</v>
      </c>
      <c r="CO533" s="39">
        <v>0.65</v>
      </c>
      <c r="CP533" s="39" t="s">
        <v>987</v>
      </c>
      <c r="DI533" s="39">
        <v>0.21</v>
      </c>
      <c r="DJ533" s="39">
        <v>0.221</v>
      </c>
      <c r="EJ533" s="12"/>
      <c r="EL533" s="15"/>
      <c r="EM533" s="39">
        <v>1288</v>
      </c>
      <c r="EN533" s="39">
        <v>1354</v>
      </c>
      <c r="EO533" s="39" t="s">
        <v>512</v>
      </c>
      <c r="FH533" s="39">
        <f t="shared" si="187"/>
        <v>0.48359999999999997</v>
      </c>
      <c r="FI533" s="39">
        <f>70.9*0.012</f>
        <v>0.85080000000000011</v>
      </c>
      <c r="FJ533" s="39" t="s">
        <v>1119</v>
      </c>
      <c r="FO533" s="39">
        <v>99999</v>
      </c>
      <c r="FR533" s="39" t="s">
        <v>515</v>
      </c>
      <c r="FS533" s="39" t="s">
        <v>986</v>
      </c>
      <c r="FT533" s="39">
        <v>29</v>
      </c>
    </row>
    <row r="534" spans="1:176" s="39" customFormat="1" x14ac:dyDescent="0.25">
      <c r="A534" s="39">
        <v>29</v>
      </c>
      <c r="B534" s="39" t="s">
        <v>1171</v>
      </c>
      <c r="C534" s="39" t="s">
        <v>507</v>
      </c>
      <c r="D534" s="39">
        <v>2009</v>
      </c>
      <c r="E534" s="39">
        <v>2006</v>
      </c>
      <c r="F534" s="39" t="s">
        <v>342</v>
      </c>
      <c r="G534" s="39" t="s">
        <v>508</v>
      </c>
      <c r="H534" s="39">
        <f t="shared" si="183"/>
        <v>43.333333333333336</v>
      </c>
      <c r="I534" s="39">
        <f t="shared" si="184"/>
        <v>-89.716666666666669</v>
      </c>
      <c r="J534" s="39">
        <v>250</v>
      </c>
      <c r="P534" s="58">
        <v>4</v>
      </c>
      <c r="Q534" s="58"/>
      <c r="R534" s="58"/>
      <c r="S534" s="58" t="s">
        <v>1570</v>
      </c>
      <c r="T534" s="58" t="s">
        <v>1570</v>
      </c>
      <c r="U534" s="58" t="s">
        <v>1565</v>
      </c>
      <c r="V534" s="58" t="s">
        <v>1910</v>
      </c>
      <c r="W534" s="39">
        <f t="shared" si="185"/>
        <v>1.417142857142857</v>
      </c>
      <c r="Z534" s="39" t="s">
        <v>531</v>
      </c>
      <c r="AA534" s="39">
        <f t="shared" si="186"/>
        <v>6.8714285714285719</v>
      </c>
      <c r="AD534" s="39" t="s">
        <v>1490</v>
      </c>
      <c r="AE534" s="39" t="s">
        <v>1313</v>
      </c>
      <c r="AF534" s="152" t="s">
        <v>159</v>
      </c>
      <c r="AG534" s="39" t="s">
        <v>160</v>
      </c>
      <c r="AH534" s="154" t="s">
        <v>1802</v>
      </c>
      <c r="AI534" s="39" t="s">
        <v>501</v>
      </c>
      <c r="AJ534" s="39" t="s">
        <v>501</v>
      </c>
      <c r="AK534" s="39" t="s">
        <v>212</v>
      </c>
      <c r="AO534" s="39" t="s">
        <v>517</v>
      </c>
      <c r="AP534" s="39" t="s">
        <v>517</v>
      </c>
      <c r="AR534" s="39" t="s">
        <v>510</v>
      </c>
      <c r="AS534" s="39">
        <v>4</v>
      </c>
      <c r="AT534" s="39">
        <v>4</v>
      </c>
      <c r="AU534" s="39" t="s">
        <v>169</v>
      </c>
      <c r="AY534" s="63"/>
      <c r="BG534" s="39">
        <v>1.47</v>
      </c>
      <c r="BH534" s="39">
        <v>1.37</v>
      </c>
      <c r="BJ534" s="39">
        <v>3.63</v>
      </c>
      <c r="BK534" s="39">
        <v>4.13</v>
      </c>
      <c r="BL534" s="39" t="s">
        <v>1854</v>
      </c>
      <c r="BP534" s="39">
        <v>45.8</v>
      </c>
      <c r="BQ534" s="39">
        <v>57.5</v>
      </c>
      <c r="BS534" s="39">
        <v>244</v>
      </c>
      <c r="BT534" s="39">
        <v>277</v>
      </c>
      <c r="BV534" s="39">
        <v>6.7</v>
      </c>
      <c r="BW534" s="39">
        <v>6.8</v>
      </c>
      <c r="CH534" s="39">
        <v>336</v>
      </c>
      <c r="CI534" s="39">
        <v>352</v>
      </c>
      <c r="CJ534" s="39" t="s">
        <v>513</v>
      </c>
      <c r="CN534" s="39">
        <v>0.52980000000000005</v>
      </c>
      <c r="CO534" s="39">
        <v>0.64</v>
      </c>
      <c r="CP534" s="39" t="s">
        <v>987</v>
      </c>
      <c r="DI534" s="39">
        <v>0.21</v>
      </c>
      <c r="DJ534" s="39">
        <v>0.23300000000000001</v>
      </c>
      <c r="EJ534" s="12"/>
      <c r="EL534" s="15"/>
      <c r="EM534" s="39">
        <v>1288</v>
      </c>
      <c r="EN534" s="39">
        <v>1382</v>
      </c>
      <c r="EO534" s="39" t="s">
        <v>512</v>
      </c>
      <c r="FH534" s="39">
        <f t="shared" si="187"/>
        <v>0.48359999999999997</v>
      </c>
      <c r="FI534" s="39">
        <f>88.6*0.012</f>
        <v>1.0631999999999999</v>
      </c>
      <c r="FJ534" s="39" t="s">
        <v>1119</v>
      </c>
      <c r="FO534" s="39">
        <v>99999</v>
      </c>
      <c r="FR534" s="39" t="s">
        <v>515</v>
      </c>
      <c r="FS534" s="39" t="s">
        <v>986</v>
      </c>
      <c r="FT534" s="39">
        <v>29</v>
      </c>
    </row>
    <row r="535" spans="1:176" s="39" customFormat="1" x14ac:dyDescent="0.25">
      <c r="A535" s="39">
        <v>29</v>
      </c>
      <c r="B535" s="39" t="s">
        <v>1171</v>
      </c>
      <c r="C535" s="39" t="s">
        <v>507</v>
      </c>
      <c r="D535" s="39">
        <v>2009</v>
      </c>
      <c r="E535" s="39">
        <v>2006</v>
      </c>
      <c r="F535" s="39" t="s">
        <v>342</v>
      </c>
      <c r="G535" s="39" t="s">
        <v>508</v>
      </c>
      <c r="H535" s="39">
        <f t="shared" si="183"/>
        <v>43.333333333333336</v>
      </c>
      <c r="I535" s="39">
        <f t="shared" si="184"/>
        <v>-89.716666666666669</v>
      </c>
      <c r="J535" s="39">
        <v>250</v>
      </c>
      <c r="P535" s="58">
        <v>4</v>
      </c>
      <c r="Q535" s="58"/>
      <c r="R535" s="58"/>
      <c r="S535" s="58" t="s">
        <v>1570</v>
      </c>
      <c r="T535" s="58" t="s">
        <v>1570</v>
      </c>
      <c r="U535" s="58" t="s">
        <v>1565</v>
      </c>
      <c r="V535" s="58" t="s">
        <v>1910</v>
      </c>
      <c r="W535" s="39">
        <f t="shared" si="185"/>
        <v>1.417142857142857</v>
      </c>
      <c r="Z535" s="39" t="s">
        <v>531</v>
      </c>
      <c r="AA535" s="39">
        <f t="shared" si="186"/>
        <v>6.8714285714285719</v>
      </c>
      <c r="AD535" s="39" t="s">
        <v>1490</v>
      </c>
      <c r="AE535" s="39" t="s">
        <v>1314</v>
      </c>
      <c r="AF535" s="152" t="s">
        <v>159</v>
      </c>
      <c r="AG535" s="39" t="s">
        <v>160</v>
      </c>
      <c r="AH535" s="154" t="s">
        <v>1802</v>
      </c>
      <c r="AI535" s="39" t="s">
        <v>501</v>
      </c>
      <c r="AJ535" s="39" t="s">
        <v>501</v>
      </c>
      <c r="AK535" s="39" t="s">
        <v>212</v>
      </c>
      <c r="AO535" s="39" t="s">
        <v>517</v>
      </c>
      <c r="AP535" s="39" t="s">
        <v>517</v>
      </c>
      <c r="AR535" s="39" t="s">
        <v>510</v>
      </c>
      <c r="AS535" s="39">
        <v>4</v>
      </c>
      <c r="AT535" s="39">
        <v>4</v>
      </c>
      <c r="AU535" s="39" t="s">
        <v>169</v>
      </c>
      <c r="AY535" s="63"/>
      <c r="BG535" s="39">
        <v>1.47</v>
      </c>
      <c r="BH535" s="39">
        <v>1.39</v>
      </c>
      <c r="BJ535" s="39">
        <v>3.63</v>
      </c>
      <c r="BK535" s="39">
        <v>3.7</v>
      </c>
      <c r="BL535" s="39" t="s">
        <v>1854</v>
      </c>
      <c r="BP535" s="39">
        <v>45.8</v>
      </c>
      <c r="BQ535" s="39">
        <v>43.3</v>
      </c>
      <c r="BS535" s="39">
        <v>244</v>
      </c>
      <c r="BT535" s="39">
        <v>265</v>
      </c>
      <c r="BV535" s="39">
        <v>6.7</v>
      </c>
      <c r="BW535" s="39">
        <v>7.1</v>
      </c>
      <c r="CH535" s="39">
        <v>336</v>
      </c>
      <c r="CI535" s="39">
        <v>411</v>
      </c>
      <c r="CJ535" s="39" t="s">
        <v>513</v>
      </c>
      <c r="CN535" s="39">
        <v>0.52980000000000005</v>
      </c>
      <c r="CO535" s="39">
        <v>0.63</v>
      </c>
      <c r="CP535" s="39" t="s">
        <v>987</v>
      </c>
      <c r="DI535" s="39">
        <v>0.21</v>
      </c>
      <c r="DJ535" s="39">
        <v>0.219</v>
      </c>
      <c r="EJ535" s="12"/>
      <c r="EL535" s="15"/>
      <c r="EM535" s="39">
        <v>1288</v>
      </c>
      <c r="EN535" s="39">
        <v>1360</v>
      </c>
      <c r="EO535" s="39" t="s">
        <v>512</v>
      </c>
      <c r="FH535" s="39">
        <f t="shared" si="187"/>
        <v>0.48359999999999997</v>
      </c>
      <c r="FI535" s="39">
        <f>72.5*0.012</f>
        <v>0.87</v>
      </c>
      <c r="FJ535" s="39" t="s">
        <v>1119</v>
      </c>
      <c r="FO535" s="39">
        <v>99999</v>
      </c>
      <c r="FR535" s="39" t="s">
        <v>515</v>
      </c>
      <c r="FS535" s="39" t="s">
        <v>986</v>
      </c>
      <c r="FT535" s="39">
        <v>29</v>
      </c>
    </row>
    <row r="536" spans="1:176" s="35" customFormat="1" x14ac:dyDescent="0.25">
      <c r="A536" s="35">
        <v>29</v>
      </c>
      <c r="B536" s="35" t="s">
        <v>1171</v>
      </c>
      <c r="C536" s="35" t="s">
        <v>507</v>
      </c>
      <c r="D536" s="35">
        <v>2009</v>
      </c>
      <c r="E536" s="35">
        <v>2006</v>
      </c>
      <c r="F536" s="35" t="s">
        <v>342</v>
      </c>
      <c r="G536" s="35" t="s">
        <v>508</v>
      </c>
      <c r="H536" s="35">
        <f t="shared" si="183"/>
        <v>43.333333333333336</v>
      </c>
      <c r="I536" s="35">
        <f t="shared" si="184"/>
        <v>-89.716666666666669</v>
      </c>
      <c r="J536" s="35">
        <v>250</v>
      </c>
      <c r="P536" s="54">
        <v>4</v>
      </c>
      <c r="Q536" s="54"/>
      <c r="R536" s="54"/>
      <c r="S536" s="54" t="s">
        <v>1570</v>
      </c>
      <c r="T536" s="54" t="s">
        <v>1570</v>
      </c>
      <c r="U536" s="54" t="s">
        <v>1565</v>
      </c>
      <c r="V536" s="54" t="s">
        <v>1910</v>
      </c>
      <c r="W536" s="35">
        <f t="shared" si="185"/>
        <v>1.417142857142857</v>
      </c>
      <c r="Z536" s="35" t="s">
        <v>531</v>
      </c>
      <c r="AA536" s="35">
        <f t="shared" si="186"/>
        <v>6.8714285714285719</v>
      </c>
      <c r="AD536" s="35" t="s">
        <v>1490</v>
      </c>
      <c r="AE536" s="35" t="s">
        <v>1715</v>
      </c>
      <c r="AF536" s="152" t="s">
        <v>666</v>
      </c>
      <c r="AG536" s="35" t="s">
        <v>509</v>
      </c>
      <c r="AH536" s="154" t="s">
        <v>1802</v>
      </c>
      <c r="AI536" s="35" t="s">
        <v>501</v>
      </c>
      <c r="AJ536" s="35" t="s">
        <v>501</v>
      </c>
      <c r="AK536" s="35" t="s">
        <v>212</v>
      </c>
      <c r="AO536" s="35" t="s">
        <v>517</v>
      </c>
      <c r="AP536" s="35" t="s">
        <v>517</v>
      </c>
      <c r="AR536" s="35" t="s">
        <v>511</v>
      </c>
      <c r="AS536" s="35">
        <v>4</v>
      </c>
      <c r="AT536" s="35">
        <v>4</v>
      </c>
      <c r="AU536" s="35" t="s">
        <v>169</v>
      </c>
      <c r="AY536" s="63"/>
      <c r="BG536" s="35">
        <v>1.42</v>
      </c>
      <c r="BH536" s="35">
        <v>1.4</v>
      </c>
      <c r="BJ536" s="35">
        <v>4</v>
      </c>
      <c r="BK536" s="35">
        <v>4.2299999999999995</v>
      </c>
      <c r="BL536" s="35" t="s">
        <v>1854</v>
      </c>
      <c r="BP536" s="35">
        <v>33</v>
      </c>
      <c r="BQ536" s="35">
        <v>37.799999999999997</v>
      </c>
      <c r="BS536" s="35">
        <v>208</v>
      </c>
      <c r="BT536" s="35">
        <v>204</v>
      </c>
      <c r="BV536" s="35">
        <v>7</v>
      </c>
      <c r="BW536" s="35">
        <v>6.6</v>
      </c>
      <c r="CH536" s="35">
        <v>407</v>
      </c>
      <c r="CI536" s="35">
        <v>365</v>
      </c>
      <c r="CJ536" s="35" t="s">
        <v>513</v>
      </c>
      <c r="CN536" s="35">
        <v>0.57999999999999996</v>
      </c>
      <c r="CO536" s="35">
        <v>0.61539999999999995</v>
      </c>
      <c r="CP536" s="35" t="s">
        <v>987</v>
      </c>
      <c r="DI536" s="35">
        <v>0.216</v>
      </c>
      <c r="DJ536" s="35">
        <v>0.26800000000000002</v>
      </c>
      <c r="EJ536" s="12"/>
      <c r="EL536" s="15"/>
      <c r="EM536" s="35">
        <v>1306</v>
      </c>
      <c r="EN536" s="35">
        <v>1376</v>
      </c>
      <c r="EO536" s="35" t="s">
        <v>512</v>
      </c>
      <c r="FH536" s="35">
        <f>61.6*0.012</f>
        <v>0.73920000000000008</v>
      </c>
      <c r="FI536" s="35">
        <f>87.1*0.012</f>
        <v>1.0451999999999999</v>
      </c>
      <c r="FJ536" s="35" t="s">
        <v>516</v>
      </c>
      <c r="FO536" s="39">
        <v>99999</v>
      </c>
      <c r="FR536" s="35" t="s">
        <v>515</v>
      </c>
      <c r="FS536" s="35" t="s">
        <v>986</v>
      </c>
      <c r="FT536" s="35">
        <v>29</v>
      </c>
    </row>
    <row r="537" spans="1:176" s="35" customFormat="1" x14ac:dyDescent="0.25">
      <c r="A537" s="35">
        <v>29</v>
      </c>
      <c r="B537" s="35" t="s">
        <v>1171</v>
      </c>
      <c r="C537" s="35" t="s">
        <v>507</v>
      </c>
      <c r="D537" s="35">
        <v>2009</v>
      </c>
      <c r="E537" s="35">
        <v>2006</v>
      </c>
      <c r="F537" s="35" t="s">
        <v>342</v>
      </c>
      <c r="G537" s="35" t="s">
        <v>508</v>
      </c>
      <c r="H537" s="35">
        <f t="shared" si="183"/>
        <v>43.333333333333336</v>
      </c>
      <c r="I537" s="35">
        <f t="shared" si="184"/>
        <v>-89.716666666666669</v>
      </c>
      <c r="J537" s="35">
        <v>250</v>
      </c>
      <c r="P537" s="54">
        <v>4</v>
      </c>
      <c r="Q537" s="54"/>
      <c r="R537" s="54"/>
      <c r="S537" s="54" t="s">
        <v>1570</v>
      </c>
      <c r="T537" s="54" t="s">
        <v>1570</v>
      </c>
      <c r="U537" s="54" t="s">
        <v>1565</v>
      </c>
      <c r="V537" s="54" t="s">
        <v>1910</v>
      </c>
      <c r="W537" s="35">
        <f t="shared" si="185"/>
        <v>1.417142857142857</v>
      </c>
      <c r="Z537" s="35" t="s">
        <v>531</v>
      </c>
      <c r="AA537" s="35">
        <f t="shared" si="186"/>
        <v>6.8714285714285719</v>
      </c>
      <c r="AD537" s="35" t="s">
        <v>1490</v>
      </c>
      <c r="AE537" s="35" t="s">
        <v>1715</v>
      </c>
      <c r="AF537" s="152" t="s">
        <v>666</v>
      </c>
      <c r="AG537" s="35" t="s">
        <v>160</v>
      </c>
      <c r="AH537" s="154" t="s">
        <v>1802</v>
      </c>
      <c r="AI537" s="35" t="s">
        <v>501</v>
      </c>
      <c r="AJ537" s="35" t="s">
        <v>501</v>
      </c>
      <c r="AK537" s="35" t="s">
        <v>212</v>
      </c>
      <c r="AO537" s="35" t="s">
        <v>517</v>
      </c>
      <c r="AP537" s="35" t="s">
        <v>517</v>
      </c>
      <c r="AR537" s="35" t="s">
        <v>511</v>
      </c>
      <c r="AS537" s="35">
        <v>4</v>
      </c>
      <c r="AT537" s="35">
        <v>4</v>
      </c>
      <c r="AU537" s="35" t="s">
        <v>169</v>
      </c>
      <c r="AY537" s="63"/>
      <c r="BG537" s="35">
        <v>1.42</v>
      </c>
      <c r="BH537" s="35">
        <v>1.4</v>
      </c>
      <c r="BJ537" s="35">
        <v>4</v>
      </c>
      <c r="BK537" s="35">
        <v>4.2799999999999994</v>
      </c>
      <c r="BL537" s="35" t="s">
        <v>1854</v>
      </c>
      <c r="BP537" s="35">
        <v>33</v>
      </c>
      <c r="BQ537" s="35">
        <v>42.3</v>
      </c>
      <c r="BS537" s="35">
        <v>208</v>
      </c>
      <c r="BT537" s="35">
        <v>269</v>
      </c>
      <c r="BV537" s="35">
        <v>7</v>
      </c>
      <c r="BW537" s="35">
        <v>6.9</v>
      </c>
      <c r="CH537" s="35">
        <v>407</v>
      </c>
      <c r="CI537" s="35">
        <v>385</v>
      </c>
      <c r="CJ537" s="35" t="s">
        <v>513</v>
      </c>
      <c r="CN537" s="35">
        <v>0.57999999999999996</v>
      </c>
      <c r="CO537" s="35">
        <v>0.6</v>
      </c>
      <c r="CP537" s="35" t="s">
        <v>987</v>
      </c>
      <c r="DI537" s="35">
        <v>0.216</v>
      </c>
      <c r="DJ537" s="35">
        <v>0.24399999999999999</v>
      </c>
      <c r="EJ537" s="12"/>
      <c r="EL537" s="15"/>
      <c r="EM537" s="35">
        <v>1306</v>
      </c>
      <c r="EN537" s="35">
        <v>1379</v>
      </c>
      <c r="EO537" s="35" t="s">
        <v>512</v>
      </c>
      <c r="FH537" s="35">
        <f t="shared" ref="FH537:FH541" si="188">61.6*0.012</f>
        <v>0.73920000000000008</v>
      </c>
      <c r="FI537" s="35">
        <f>108.2*0.012</f>
        <v>1.2984</v>
      </c>
      <c r="FJ537" s="35" t="s">
        <v>516</v>
      </c>
      <c r="FO537" s="39">
        <v>99999</v>
      </c>
      <c r="FR537" s="35" t="s">
        <v>515</v>
      </c>
      <c r="FS537" s="35" t="s">
        <v>986</v>
      </c>
      <c r="FT537" s="35">
        <v>29</v>
      </c>
    </row>
    <row r="538" spans="1:176" s="35" customFormat="1" x14ac:dyDescent="0.25">
      <c r="A538" s="35">
        <v>29</v>
      </c>
      <c r="B538" s="35" t="s">
        <v>1171</v>
      </c>
      <c r="C538" s="35" t="s">
        <v>507</v>
      </c>
      <c r="D538" s="35">
        <v>2009</v>
      </c>
      <c r="E538" s="35">
        <v>2006</v>
      </c>
      <c r="F538" s="35" t="s">
        <v>342</v>
      </c>
      <c r="G538" s="35" t="s">
        <v>508</v>
      </c>
      <c r="H538" s="35">
        <f t="shared" si="183"/>
        <v>43.333333333333336</v>
      </c>
      <c r="I538" s="35">
        <f t="shared" si="184"/>
        <v>-89.716666666666669</v>
      </c>
      <c r="J538" s="35">
        <v>250</v>
      </c>
      <c r="P538" s="54">
        <v>4</v>
      </c>
      <c r="Q538" s="54"/>
      <c r="R538" s="54"/>
      <c r="S538" s="54" t="s">
        <v>1570</v>
      </c>
      <c r="T538" s="54" t="s">
        <v>1570</v>
      </c>
      <c r="U538" s="54" t="s">
        <v>1565</v>
      </c>
      <c r="V538" s="54" t="s">
        <v>1910</v>
      </c>
      <c r="W538" s="35">
        <f t="shared" si="185"/>
        <v>1.417142857142857</v>
      </c>
      <c r="Z538" s="35" t="s">
        <v>531</v>
      </c>
      <c r="AA538" s="35">
        <f t="shared" si="186"/>
        <v>6.8714285714285719</v>
      </c>
      <c r="AD538" s="35" t="s">
        <v>1490</v>
      </c>
      <c r="AE538" s="35" t="s">
        <v>1695</v>
      </c>
      <c r="AF538" s="152" t="s">
        <v>666</v>
      </c>
      <c r="AG538" s="35" t="s">
        <v>509</v>
      </c>
      <c r="AH538" s="154" t="s">
        <v>1802</v>
      </c>
      <c r="AI538" s="35" t="s">
        <v>501</v>
      </c>
      <c r="AJ538" s="35" t="s">
        <v>501</v>
      </c>
      <c r="AK538" s="35" t="s">
        <v>212</v>
      </c>
      <c r="AO538" s="35" t="s">
        <v>517</v>
      </c>
      <c r="AP538" s="35" t="s">
        <v>517</v>
      </c>
      <c r="AR538" s="35" t="s">
        <v>511</v>
      </c>
      <c r="AS538" s="35">
        <v>4</v>
      </c>
      <c r="AT538" s="35">
        <v>4</v>
      </c>
      <c r="AU538" s="35" t="s">
        <v>169</v>
      </c>
      <c r="AY538" s="63"/>
      <c r="BG538" s="35">
        <v>1.42</v>
      </c>
      <c r="BH538" s="35">
        <v>1.46</v>
      </c>
      <c r="BJ538" s="35">
        <v>4</v>
      </c>
      <c r="BK538" s="35">
        <v>3.8299999999999996</v>
      </c>
      <c r="BL538" s="35" t="s">
        <v>1854</v>
      </c>
      <c r="BP538" s="35">
        <v>33</v>
      </c>
      <c r="BQ538" s="35">
        <v>37.299999999999997</v>
      </c>
      <c r="BS538" s="35">
        <v>208</v>
      </c>
      <c r="BT538" s="35">
        <v>161</v>
      </c>
      <c r="BV538" s="35">
        <v>7</v>
      </c>
      <c r="BW538" s="35">
        <v>6.6</v>
      </c>
      <c r="CH538" s="35">
        <v>407</v>
      </c>
      <c r="CI538" s="35">
        <v>337</v>
      </c>
      <c r="CJ538" s="35" t="s">
        <v>513</v>
      </c>
      <c r="CN538" s="35">
        <v>0.57999999999999996</v>
      </c>
      <c r="CO538" s="35">
        <v>0.63</v>
      </c>
      <c r="CP538" s="35" t="s">
        <v>987</v>
      </c>
      <c r="DI538" s="35">
        <v>0.216</v>
      </c>
      <c r="DJ538" s="35">
        <v>0.23799999999999999</v>
      </c>
      <c r="EJ538" s="12"/>
      <c r="EL538" s="15"/>
      <c r="EM538" s="35">
        <v>1306</v>
      </c>
      <c r="EN538" s="35">
        <v>1336</v>
      </c>
      <c r="EO538" s="35" t="s">
        <v>512</v>
      </c>
      <c r="FH538" s="35">
        <f t="shared" si="188"/>
        <v>0.73920000000000008</v>
      </c>
      <c r="FI538" s="35">
        <f>105*0.012</f>
        <v>1.26</v>
      </c>
      <c r="FJ538" s="35" t="s">
        <v>516</v>
      </c>
      <c r="FO538" s="39">
        <v>99999</v>
      </c>
      <c r="FR538" s="35" t="s">
        <v>515</v>
      </c>
      <c r="FS538" s="35" t="s">
        <v>986</v>
      </c>
      <c r="FT538" s="35">
        <v>29</v>
      </c>
    </row>
    <row r="539" spans="1:176" s="35" customFormat="1" x14ac:dyDescent="0.25">
      <c r="A539" s="35">
        <v>29</v>
      </c>
      <c r="B539" s="35" t="s">
        <v>1171</v>
      </c>
      <c r="C539" s="35" t="s">
        <v>507</v>
      </c>
      <c r="D539" s="35">
        <v>2009</v>
      </c>
      <c r="E539" s="35">
        <v>2006</v>
      </c>
      <c r="F539" s="35" t="s">
        <v>342</v>
      </c>
      <c r="G539" s="35" t="s">
        <v>508</v>
      </c>
      <c r="H539" s="35">
        <f t="shared" si="183"/>
        <v>43.333333333333336</v>
      </c>
      <c r="I539" s="35">
        <f t="shared" si="184"/>
        <v>-89.716666666666669</v>
      </c>
      <c r="J539" s="35">
        <v>250</v>
      </c>
      <c r="P539" s="54">
        <v>4</v>
      </c>
      <c r="Q539" s="54"/>
      <c r="R539" s="54"/>
      <c r="S539" s="54" t="s">
        <v>1570</v>
      </c>
      <c r="T539" s="54" t="s">
        <v>1570</v>
      </c>
      <c r="U539" s="54" t="s">
        <v>1565</v>
      </c>
      <c r="V539" s="54" t="s">
        <v>1910</v>
      </c>
      <c r="W539" s="35">
        <f t="shared" si="185"/>
        <v>1.417142857142857</v>
      </c>
      <c r="Z539" s="35" t="s">
        <v>531</v>
      </c>
      <c r="AA539" s="35">
        <f t="shared" si="186"/>
        <v>6.8714285714285719</v>
      </c>
      <c r="AD539" s="35" t="s">
        <v>1490</v>
      </c>
      <c r="AE539" s="35" t="s">
        <v>1695</v>
      </c>
      <c r="AF539" s="152" t="s">
        <v>666</v>
      </c>
      <c r="AG539" s="35" t="s">
        <v>160</v>
      </c>
      <c r="AH539" s="154" t="s">
        <v>1802</v>
      </c>
      <c r="AI539" s="35" t="s">
        <v>501</v>
      </c>
      <c r="AJ539" s="35" t="s">
        <v>501</v>
      </c>
      <c r="AK539" s="35" t="s">
        <v>212</v>
      </c>
      <c r="AO539" s="35" t="s">
        <v>517</v>
      </c>
      <c r="AP539" s="35" t="s">
        <v>517</v>
      </c>
      <c r="AR539" s="35" t="s">
        <v>511</v>
      </c>
      <c r="AS539" s="35">
        <v>4</v>
      </c>
      <c r="AT539" s="35">
        <v>4</v>
      </c>
      <c r="AU539" s="35" t="s">
        <v>169</v>
      </c>
      <c r="AY539" s="63"/>
      <c r="BG539" s="35">
        <v>1.42</v>
      </c>
      <c r="BH539" s="35">
        <v>1.41</v>
      </c>
      <c r="BJ539" s="35">
        <v>4</v>
      </c>
      <c r="BK539" s="35">
        <v>4.2299999999999995</v>
      </c>
      <c r="BL539" s="35" t="s">
        <v>1854</v>
      </c>
      <c r="BP539" s="35">
        <v>33</v>
      </c>
      <c r="BQ539" s="35">
        <v>54.5</v>
      </c>
      <c r="BS539" s="35">
        <v>208</v>
      </c>
      <c r="BT539" s="35">
        <v>204</v>
      </c>
      <c r="BV539" s="35">
        <v>7</v>
      </c>
      <c r="BW539" s="35">
        <v>7</v>
      </c>
      <c r="CH539" s="35">
        <v>407</v>
      </c>
      <c r="CI539" s="35">
        <v>368</v>
      </c>
      <c r="CJ539" s="35" t="s">
        <v>513</v>
      </c>
      <c r="CN539" s="35">
        <v>0.57999999999999996</v>
      </c>
      <c r="CO539" s="35">
        <v>0.65</v>
      </c>
      <c r="CP539" s="35" t="s">
        <v>987</v>
      </c>
      <c r="DI539" s="35">
        <v>0.216</v>
      </c>
      <c r="DJ539" s="35">
        <v>0.221</v>
      </c>
      <c r="EJ539" s="12"/>
      <c r="EL539" s="15"/>
      <c r="EM539" s="35">
        <v>1306</v>
      </c>
      <c r="EN539" s="35">
        <v>1354</v>
      </c>
      <c r="EO539" s="35" t="s">
        <v>512</v>
      </c>
      <c r="FH539" s="35">
        <f t="shared" si="188"/>
        <v>0.73920000000000008</v>
      </c>
      <c r="FI539" s="35">
        <f>70.9*0.012</f>
        <v>0.85080000000000011</v>
      </c>
      <c r="FJ539" s="35" t="s">
        <v>516</v>
      </c>
      <c r="FO539" s="39">
        <v>99999</v>
      </c>
      <c r="FR539" s="35" t="s">
        <v>515</v>
      </c>
      <c r="FS539" s="35" t="s">
        <v>986</v>
      </c>
      <c r="FT539" s="35">
        <v>29</v>
      </c>
    </row>
    <row r="540" spans="1:176" s="35" customFormat="1" x14ac:dyDescent="0.25">
      <c r="A540" s="35">
        <v>29</v>
      </c>
      <c r="B540" s="35" t="s">
        <v>1171</v>
      </c>
      <c r="C540" s="35" t="s">
        <v>507</v>
      </c>
      <c r="D540" s="35">
        <v>2009</v>
      </c>
      <c r="E540" s="35">
        <v>2006</v>
      </c>
      <c r="F540" s="35" t="s">
        <v>342</v>
      </c>
      <c r="G540" s="35" t="s">
        <v>508</v>
      </c>
      <c r="H540" s="35">
        <f t="shared" si="183"/>
        <v>43.333333333333336</v>
      </c>
      <c r="I540" s="35">
        <f t="shared" si="184"/>
        <v>-89.716666666666669</v>
      </c>
      <c r="J540" s="35">
        <v>250</v>
      </c>
      <c r="P540" s="54">
        <v>4</v>
      </c>
      <c r="Q540" s="54"/>
      <c r="R540" s="54"/>
      <c r="S540" s="54" t="s">
        <v>1570</v>
      </c>
      <c r="T540" s="54" t="s">
        <v>1570</v>
      </c>
      <c r="U540" s="54" t="s">
        <v>1565</v>
      </c>
      <c r="V540" s="54" t="s">
        <v>1910</v>
      </c>
      <c r="W540" s="35">
        <f t="shared" si="185"/>
        <v>1.417142857142857</v>
      </c>
      <c r="Z540" s="35" t="s">
        <v>531</v>
      </c>
      <c r="AA540" s="35">
        <f t="shared" si="186"/>
        <v>6.8714285714285719</v>
      </c>
      <c r="AD540" s="35" t="s">
        <v>1490</v>
      </c>
      <c r="AE540" s="35" t="s">
        <v>1313</v>
      </c>
      <c r="AF540" s="152" t="s">
        <v>159</v>
      </c>
      <c r="AG540" s="35" t="s">
        <v>160</v>
      </c>
      <c r="AH540" s="154" t="s">
        <v>1802</v>
      </c>
      <c r="AI540" s="35" t="s">
        <v>501</v>
      </c>
      <c r="AJ540" s="35" t="s">
        <v>501</v>
      </c>
      <c r="AK540" s="35" t="s">
        <v>212</v>
      </c>
      <c r="AO540" s="35" t="s">
        <v>517</v>
      </c>
      <c r="AP540" s="35" t="s">
        <v>517</v>
      </c>
      <c r="AR540" s="35" t="s">
        <v>511</v>
      </c>
      <c r="AS540" s="35">
        <v>4</v>
      </c>
      <c r="AT540" s="35">
        <v>4</v>
      </c>
      <c r="AU540" s="35" t="s">
        <v>169</v>
      </c>
      <c r="AY540" s="63"/>
      <c r="BG540" s="35">
        <v>1.42</v>
      </c>
      <c r="BH540" s="35">
        <v>1.37</v>
      </c>
      <c r="BJ540" s="35">
        <v>4</v>
      </c>
      <c r="BK540" s="35">
        <v>4.13</v>
      </c>
      <c r="BL540" s="35" t="s">
        <v>1854</v>
      </c>
      <c r="BP540" s="35">
        <v>33</v>
      </c>
      <c r="BQ540" s="35">
        <v>57.5</v>
      </c>
      <c r="BS540" s="35">
        <v>208</v>
      </c>
      <c r="BT540" s="35">
        <v>277</v>
      </c>
      <c r="BV540" s="35">
        <v>7</v>
      </c>
      <c r="BW540" s="35">
        <v>6.8</v>
      </c>
      <c r="CH540" s="35">
        <v>407</v>
      </c>
      <c r="CI540" s="35">
        <v>352</v>
      </c>
      <c r="CJ540" s="35" t="s">
        <v>513</v>
      </c>
      <c r="CN540" s="35">
        <v>0.57999999999999996</v>
      </c>
      <c r="CO540" s="35">
        <v>0.64</v>
      </c>
      <c r="CP540" s="35" t="s">
        <v>987</v>
      </c>
      <c r="DI540" s="35">
        <v>0.216</v>
      </c>
      <c r="DJ540" s="35">
        <v>0.23300000000000001</v>
      </c>
      <c r="EJ540" s="12"/>
      <c r="EL540" s="15"/>
      <c r="EM540" s="35">
        <v>1306</v>
      </c>
      <c r="EN540" s="35">
        <v>1382</v>
      </c>
      <c r="EO540" s="35" t="s">
        <v>512</v>
      </c>
      <c r="FH540" s="35">
        <f t="shared" si="188"/>
        <v>0.73920000000000008</v>
      </c>
      <c r="FI540" s="35">
        <f>88.6*0.012</f>
        <v>1.0631999999999999</v>
      </c>
      <c r="FJ540" s="35" t="s">
        <v>516</v>
      </c>
      <c r="FO540" s="39">
        <v>99999</v>
      </c>
      <c r="FR540" s="35" t="s">
        <v>515</v>
      </c>
      <c r="FS540" s="35" t="s">
        <v>986</v>
      </c>
      <c r="FT540" s="35">
        <v>29</v>
      </c>
    </row>
    <row r="541" spans="1:176" s="35" customFormat="1" x14ac:dyDescent="0.25">
      <c r="A541" s="35">
        <v>29</v>
      </c>
      <c r="B541" s="35" t="s">
        <v>1171</v>
      </c>
      <c r="C541" s="35" t="s">
        <v>507</v>
      </c>
      <c r="D541" s="35">
        <v>2009</v>
      </c>
      <c r="E541" s="35">
        <v>2006</v>
      </c>
      <c r="F541" s="35" t="s">
        <v>342</v>
      </c>
      <c r="G541" s="35" t="s">
        <v>508</v>
      </c>
      <c r="H541" s="35">
        <f t="shared" si="183"/>
        <v>43.333333333333336</v>
      </c>
      <c r="I541" s="35">
        <f t="shared" si="184"/>
        <v>-89.716666666666669</v>
      </c>
      <c r="J541" s="35">
        <v>250</v>
      </c>
      <c r="P541" s="54">
        <v>4</v>
      </c>
      <c r="Q541" s="54"/>
      <c r="R541" s="54"/>
      <c r="S541" s="54" t="s">
        <v>1570</v>
      </c>
      <c r="T541" s="54" t="s">
        <v>1570</v>
      </c>
      <c r="U541" s="54" t="s">
        <v>1565</v>
      </c>
      <c r="V541" s="54" t="s">
        <v>1910</v>
      </c>
      <c r="W541" s="35">
        <f t="shared" si="185"/>
        <v>1.417142857142857</v>
      </c>
      <c r="Z541" s="35" t="s">
        <v>531</v>
      </c>
      <c r="AA541" s="35">
        <f t="shared" si="186"/>
        <v>6.8714285714285719</v>
      </c>
      <c r="AD541" s="35" t="s">
        <v>1490</v>
      </c>
      <c r="AE541" s="35" t="s">
        <v>1314</v>
      </c>
      <c r="AF541" s="152" t="s">
        <v>159</v>
      </c>
      <c r="AG541" s="35" t="s">
        <v>160</v>
      </c>
      <c r="AH541" s="154" t="s">
        <v>1802</v>
      </c>
      <c r="AI541" s="35" t="s">
        <v>501</v>
      </c>
      <c r="AJ541" s="35" t="s">
        <v>501</v>
      </c>
      <c r="AK541" s="35" t="s">
        <v>212</v>
      </c>
      <c r="AO541" s="35" t="s">
        <v>517</v>
      </c>
      <c r="AP541" s="35" t="s">
        <v>517</v>
      </c>
      <c r="AR541" s="35" t="s">
        <v>511</v>
      </c>
      <c r="AS541" s="35">
        <v>4</v>
      </c>
      <c r="AT541" s="35">
        <v>4</v>
      </c>
      <c r="AU541" s="35" t="s">
        <v>169</v>
      </c>
      <c r="AY541" s="63"/>
      <c r="BG541" s="35">
        <v>1.42</v>
      </c>
      <c r="BH541" s="35">
        <v>1.39</v>
      </c>
      <c r="BJ541" s="35">
        <v>4</v>
      </c>
      <c r="BK541" s="35">
        <v>3.7</v>
      </c>
      <c r="BL541" s="35" t="s">
        <v>1854</v>
      </c>
      <c r="BP541" s="35">
        <v>33</v>
      </c>
      <c r="BQ541" s="35">
        <v>43.3</v>
      </c>
      <c r="BS541" s="35">
        <v>208</v>
      </c>
      <c r="BT541" s="35">
        <v>265</v>
      </c>
      <c r="BV541" s="35">
        <v>7</v>
      </c>
      <c r="BW541" s="35">
        <v>7.1</v>
      </c>
      <c r="CH541" s="35">
        <v>407</v>
      </c>
      <c r="CI541" s="35">
        <v>411</v>
      </c>
      <c r="CJ541" s="35" t="s">
        <v>513</v>
      </c>
      <c r="CN541" s="35">
        <v>0.57999999999999996</v>
      </c>
      <c r="CO541" s="35">
        <v>0.63</v>
      </c>
      <c r="CP541" s="35" t="s">
        <v>987</v>
      </c>
      <c r="DI541" s="35">
        <v>0.216</v>
      </c>
      <c r="DJ541" s="35">
        <v>0.219</v>
      </c>
      <c r="EJ541" s="12"/>
      <c r="EL541" s="15"/>
      <c r="EM541" s="35">
        <v>1306</v>
      </c>
      <c r="EN541" s="35">
        <v>1360</v>
      </c>
      <c r="EO541" s="35" t="s">
        <v>512</v>
      </c>
      <c r="FH541" s="35">
        <f t="shared" si="188"/>
        <v>0.73920000000000008</v>
      </c>
      <c r="FI541" s="35">
        <f>72.5*0.012</f>
        <v>0.87</v>
      </c>
      <c r="FJ541" s="35" t="s">
        <v>516</v>
      </c>
      <c r="FO541" s="39">
        <v>99999</v>
      </c>
      <c r="FR541" s="35" t="s">
        <v>515</v>
      </c>
      <c r="FS541" s="35" t="s">
        <v>986</v>
      </c>
      <c r="FT541" s="35">
        <v>29</v>
      </c>
    </row>
    <row r="542" spans="1:176" s="39" customFormat="1" x14ac:dyDescent="0.25">
      <c r="A542" s="39">
        <v>29</v>
      </c>
      <c r="B542" s="39" t="s">
        <v>1171</v>
      </c>
      <c r="C542" s="39" t="s">
        <v>507</v>
      </c>
      <c r="D542" s="39">
        <v>2009</v>
      </c>
      <c r="E542" s="39">
        <v>2006</v>
      </c>
      <c r="F542" s="39" t="s">
        <v>342</v>
      </c>
      <c r="G542" s="39" t="s">
        <v>508</v>
      </c>
      <c r="H542" s="39">
        <f t="shared" si="183"/>
        <v>43.333333333333336</v>
      </c>
      <c r="I542" s="39">
        <f t="shared" si="184"/>
        <v>-89.716666666666669</v>
      </c>
      <c r="J542" s="39">
        <v>250</v>
      </c>
      <c r="P542" s="58">
        <v>4</v>
      </c>
      <c r="Q542" s="58"/>
      <c r="R542" s="58"/>
      <c r="S542" s="58" t="s">
        <v>1558</v>
      </c>
      <c r="T542" s="58" t="s">
        <v>1570</v>
      </c>
      <c r="U542" s="58" t="s">
        <v>1565</v>
      </c>
      <c r="V542" s="58" t="s">
        <v>1910</v>
      </c>
      <c r="W542" s="39">
        <f t="shared" si="185"/>
        <v>1.417142857142857</v>
      </c>
      <c r="Z542" s="39" t="s">
        <v>531</v>
      </c>
      <c r="AA542" s="39">
        <f t="shared" si="186"/>
        <v>6.8714285714285719</v>
      </c>
      <c r="AD542" s="39" t="s">
        <v>1490</v>
      </c>
      <c r="AE542" s="39" t="s">
        <v>1715</v>
      </c>
      <c r="AF542" s="152" t="s">
        <v>666</v>
      </c>
      <c r="AG542" s="39" t="s">
        <v>509</v>
      </c>
      <c r="AH542" s="154" t="s">
        <v>1802</v>
      </c>
      <c r="AI542" s="39" t="s">
        <v>501</v>
      </c>
      <c r="AJ542" s="39" t="s">
        <v>501</v>
      </c>
      <c r="AK542" s="39" t="s">
        <v>212</v>
      </c>
      <c r="AO542" s="39" t="s">
        <v>517</v>
      </c>
      <c r="AP542" s="39" t="s">
        <v>517</v>
      </c>
      <c r="AR542" s="39" t="s">
        <v>510</v>
      </c>
      <c r="AS542" s="39">
        <v>4</v>
      </c>
      <c r="AT542" s="39">
        <v>4</v>
      </c>
      <c r="AU542" s="39" t="s">
        <v>169</v>
      </c>
      <c r="AY542" s="63"/>
      <c r="BG542" s="39">
        <v>1.49</v>
      </c>
      <c r="BH542" s="39">
        <v>1.45</v>
      </c>
      <c r="BJ542" s="39">
        <v>2.93</v>
      </c>
      <c r="BK542" s="39">
        <v>3.3</v>
      </c>
      <c r="BL542" s="39" t="s">
        <v>1854</v>
      </c>
      <c r="BP542" s="39">
        <v>24.3</v>
      </c>
      <c r="BQ542" s="39">
        <v>20.8</v>
      </c>
      <c r="BS542" s="39">
        <v>145</v>
      </c>
      <c r="BT542" s="39">
        <v>104</v>
      </c>
      <c r="BV542" s="39">
        <v>7.1</v>
      </c>
      <c r="BW542" s="39">
        <v>6.8</v>
      </c>
      <c r="CH542" s="39">
        <v>293</v>
      </c>
      <c r="CI542" s="39">
        <v>313</v>
      </c>
      <c r="CJ542" s="39" t="s">
        <v>513</v>
      </c>
      <c r="CN542" s="39">
        <v>1.3393999999999999</v>
      </c>
      <c r="CO542" s="39">
        <v>1.2694000000000001</v>
      </c>
      <c r="CP542" s="39" t="s">
        <v>987</v>
      </c>
      <c r="DI542" s="39">
        <v>0.23</v>
      </c>
      <c r="DJ542" s="39">
        <v>0.23499999999999999</v>
      </c>
      <c r="EJ542" s="12"/>
      <c r="EL542" s="15"/>
      <c r="EM542" s="39">
        <v>1092</v>
      </c>
      <c r="EN542" s="39">
        <v>1178</v>
      </c>
      <c r="EO542" s="39" t="s">
        <v>512</v>
      </c>
      <c r="FH542" s="39">
        <f>22*0.012</f>
        <v>0.26400000000000001</v>
      </c>
      <c r="FI542" s="39">
        <f>54.3*0.012</f>
        <v>0.65159999999999996</v>
      </c>
      <c r="FJ542" s="39" t="s">
        <v>516</v>
      </c>
      <c r="FO542" s="39">
        <v>99999</v>
      </c>
      <c r="FR542" s="39" t="s">
        <v>515</v>
      </c>
      <c r="FS542" s="39" t="s">
        <v>986</v>
      </c>
      <c r="FT542" s="39">
        <v>29</v>
      </c>
    </row>
    <row r="543" spans="1:176" s="39" customFormat="1" x14ac:dyDescent="0.25">
      <c r="A543" s="39">
        <v>29</v>
      </c>
      <c r="B543" s="39" t="s">
        <v>1171</v>
      </c>
      <c r="C543" s="39" t="s">
        <v>507</v>
      </c>
      <c r="D543" s="39">
        <v>2009</v>
      </c>
      <c r="E543" s="39">
        <v>2006</v>
      </c>
      <c r="F543" s="39" t="s">
        <v>342</v>
      </c>
      <c r="G543" s="39" t="s">
        <v>508</v>
      </c>
      <c r="H543" s="39">
        <f t="shared" si="183"/>
        <v>43.333333333333336</v>
      </c>
      <c r="I543" s="39">
        <f t="shared" si="184"/>
        <v>-89.716666666666669</v>
      </c>
      <c r="J543" s="39">
        <v>250</v>
      </c>
      <c r="P543" s="58">
        <v>4</v>
      </c>
      <c r="Q543" s="58"/>
      <c r="R543" s="58"/>
      <c r="S543" s="58" t="s">
        <v>1558</v>
      </c>
      <c r="T543" s="58" t="s">
        <v>1570</v>
      </c>
      <c r="U543" s="58" t="s">
        <v>1565</v>
      </c>
      <c r="V543" s="58" t="s">
        <v>1910</v>
      </c>
      <c r="W543" s="39">
        <f t="shared" si="185"/>
        <v>1.417142857142857</v>
      </c>
      <c r="Z543" s="39" t="s">
        <v>531</v>
      </c>
      <c r="AA543" s="39">
        <f t="shared" si="186"/>
        <v>6.8714285714285719</v>
      </c>
      <c r="AD543" s="39" t="s">
        <v>1490</v>
      </c>
      <c r="AE543" s="39" t="s">
        <v>1715</v>
      </c>
      <c r="AF543" s="152" t="s">
        <v>666</v>
      </c>
      <c r="AG543" s="39" t="s">
        <v>160</v>
      </c>
      <c r="AH543" s="154" t="s">
        <v>1802</v>
      </c>
      <c r="AI543" s="39" t="s">
        <v>501</v>
      </c>
      <c r="AJ543" s="39" t="s">
        <v>501</v>
      </c>
      <c r="AK543" s="39" t="s">
        <v>212</v>
      </c>
      <c r="AO543" s="39" t="s">
        <v>517</v>
      </c>
      <c r="AP543" s="39" t="s">
        <v>517</v>
      </c>
      <c r="AR543" s="39" t="s">
        <v>510</v>
      </c>
      <c r="AS543" s="39">
        <v>4</v>
      </c>
      <c r="AT543" s="39">
        <v>4</v>
      </c>
      <c r="AU543" s="39" t="s">
        <v>169</v>
      </c>
      <c r="AY543" s="63"/>
      <c r="BG543" s="39">
        <v>1.49</v>
      </c>
      <c r="BH543" s="39">
        <v>1.42</v>
      </c>
      <c r="BJ543" s="39">
        <v>2.93</v>
      </c>
      <c r="BK543" s="39">
        <v>3.38</v>
      </c>
      <c r="BL543" s="39" t="s">
        <v>1854</v>
      </c>
      <c r="BP543" s="39">
        <v>24.3</v>
      </c>
      <c r="BQ543" s="39">
        <v>19</v>
      </c>
      <c r="BS543" s="39">
        <v>145</v>
      </c>
      <c r="BT543" s="39">
        <v>121</v>
      </c>
      <c r="BV543" s="39">
        <v>7.1</v>
      </c>
      <c r="BW543" s="39">
        <v>6.6</v>
      </c>
      <c r="CH543" s="39">
        <v>293</v>
      </c>
      <c r="CI543" s="39">
        <v>404</v>
      </c>
      <c r="CJ543" s="39" t="s">
        <v>513</v>
      </c>
      <c r="CN543" s="39">
        <v>1.3393999999999999</v>
      </c>
      <c r="CO543" s="39">
        <v>1.3277000000000001</v>
      </c>
      <c r="CP543" s="39" t="s">
        <v>987</v>
      </c>
      <c r="DI543" s="39">
        <v>0.23</v>
      </c>
      <c r="DJ543" s="39">
        <v>0.22800000000000001</v>
      </c>
      <c r="EJ543" s="12"/>
      <c r="EL543" s="15"/>
      <c r="EM543" s="39">
        <v>1092</v>
      </c>
      <c r="EN543" s="39">
        <v>1169</v>
      </c>
      <c r="EO543" s="39" t="s">
        <v>512</v>
      </c>
      <c r="FH543" s="39">
        <f t="shared" ref="FH543:FH547" si="189">22*0.012</f>
        <v>0.26400000000000001</v>
      </c>
      <c r="FI543" s="39">
        <f>29.1*0.012</f>
        <v>0.34920000000000001</v>
      </c>
      <c r="FJ543" s="39" t="s">
        <v>516</v>
      </c>
      <c r="FO543" s="39">
        <v>99999</v>
      </c>
      <c r="FR543" s="39" t="s">
        <v>515</v>
      </c>
      <c r="FS543" s="39" t="s">
        <v>986</v>
      </c>
      <c r="FT543" s="39">
        <v>29</v>
      </c>
    </row>
    <row r="544" spans="1:176" s="39" customFormat="1" x14ac:dyDescent="0.25">
      <c r="A544" s="39">
        <v>29</v>
      </c>
      <c r="B544" s="39" t="s">
        <v>1171</v>
      </c>
      <c r="C544" s="39" t="s">
        <v>507</v>
      </c>
      <c r="D544" s="39">
        <v>2009</v>
      </c>
      <c r="E544" s="39">
        <v>2006</v>
      </c>
      <c r="F544" s="39" t="s">
        <v>342</v>
      </c>
      <c r="G544" s="39" t="s">
        <v>508</v>
      </c>
      <c r="H544" s="39">
        <f t="shared" si="183"/>
        <v>43.333333333333336</v>
      </c>
      <c r="I544" s="39">
        <f t="shared" si="184"/>
        <v>-89.716666666666669</v>
      </c>
      <c r="J544" s="39">
        <v>250</v>
      </c>
      <c r="P544" s="58">
        <v>4</v>
      </c>
      <c r="Q544" s="58"/>
      <c r="R544" s="58"/>
      <c r="S544" s="58" t="s">
        <v>1558</v>
      </c>
      <c r="T544" s="58" t="s">
        <v>1570</v>
      </c>
      <c r="U544" s="58" t="s">
        <v>1565</v>
      </c>
      <c r="V544" s="58" t="s">
        <v>1910</v>
      </c>
      <c r="W544" s="39">
        <f t="shared" si="185"/>
        <v>1.417142857142857</v>
      </c>
      <c r="Z544" s="39" t="s">
        <v>531</v>
      </c>
      <c r="AA544" s="39">
        <f t="shared" si="186"/>
        <v>6.8714285714285719</v>
      </c>
      <c r="AD544" s="39" t="s">
        <v>1490</v>
      </c>
      <c r="AE544" s="39" t="s">
        <v>1695</v>
      </c>
      <c r="AF544" s="152" t="s">
        <v>666</v>
      </c>
      <c r="AG544" s="39" t="s">
        <v>509</v>
      </c>
      <c r="AH544" s="154" t="s">
        <v>1802</v>
      </c>
      <c r="AI544" s="39" t="s">
        <v>501</v>
      </c>
      <c r="AJ544" s="39" t="s">
        <v>501</v>
      </c>
      <c r="AK544" s="39" t="s">
        <v>212</v>
      </c>
      <c r="AO544" s="39" t="s">
        <v>517</v>
      </c>
      <c r="AP544" s="39" t="s">
        <v>517</v>
      </c>
      <c r="AR544" s="39" t="s">
        <v>510</v>
      </c>
      <c r="AS544" s="39">
        <v>4</v>
      </c>
      <c r="AT544" s="39">
        <v>4</v>
      </c>
      <c r="AU544" s="39" t="s">
        <v>169</v>
      </c>
      <c r="AY544" s="63"/>
      <c r="BG544" s="39">
        <v>1.49</v>
      </c>
      <c r="BH544" s="39">
        <v>1.48</v>
      </c>
      <c r="BJ544" s="39">
        <v>2.93</v>
      </c>
      <c r="BK544" s="39">
        <v>3.25</v>
      </c>
      <c r="BL544" s="39" t="s">
        <v>1854</v>
      </c>
      <c r="BP544" s="39">
        <v>24.3</v>
      </c>
      <c r="BQ544" s="39">
        <v>22.5</v>
      </c>
      <c r="BS544" s="39">
        <v>145</v>
      </c>
      <c r="BT544" s="39">
        <v>92</v>
      </c>
      <c r="BV544" s="39">
        <v>7.1</v>
      </c>
      <c r="BW544" s="39">
        <v>7</v>
      </c>
      <c r="CH544" s="39">
        <v>293</v>
      </c>
      <c r="CI544" s="39">
        <v>279</v>
      </c>
      <c r="CJ544" s="39" t="s">
        <v>513</v>
      </c>
      <c r="CN544" s="39">
        <v>1.3393999999999999</v>
      </c>
      <c r="CO544" s="39">
        <v>1.3549</v>
      </c>
      <c r="CP544" s="39" t="s">
        <v>987</v>
      </c>
      <c r="DI544" s="39">
        <v>0.23</v>
      </c>
      <c r="DJ544" s="39">
        <v>0.22700000000000001</v>
      </c>
      <c r="EJ544" s="12"/>
      <c r="EL544" s="15"/>
      <c r="EM544" s="39">
        <v>1092</v>
      </c>
      <c r="EN544" s="39">
        <v>1148</v>
      </c>
      <c r="EO544" s="39" t="s">
        <v>512</v>
      </c>
      <c r="FH544" s="39">
        <f t="shared" si="189"/>
        <v>0.26400000000000001</v>
      </c>
      <c r="FI544" s="39">
        <f>43.9*0.012</f>
        <v>0.52680000000000005</v>
      </c>
      <c r="FJ544" s="39" t="s">
        <v>516</v>
      </c>
      <c r="FO544" s="39">
        <v>99999</v>
      </c>
      <c r="FR544" s="39" t="s">
        <v>515</v>
      </c>
      <c r="FS544" s="39" t="s">
        <v>986</v>
      </c>
      <c r="FT544" s="39">
        <v>29</v>
      </c>
    </row>
    <row r="545" spans="1:176" s="39" customFormat="1" x14ac:dyDescent="0.25">
      <c r="A545" s="39">
        <v>29</v>
      </c>
      <c r="B545" s="39" t="s">
        <v>1171</v>
      </c>
      <c r="C545" s="39" t="s">
        <v>507</v>
      </c>
      <c r="D545" s="39">
        <v>2009</v>
      </c>
      <c r="E545" s="39">
        <v>2006</v>
      </c>
      <c r="F545" s="39" t="s">
        <v>342</v>
      </c>
      <c r="G545" s="39" t="s">
        <v>508</v>
      </c>
      <c r="H545" s="39">
        <f t="shared" si="183"/>
        <v>43.333333333333336</v>
      </c>
      <c r="I545" s="39">
        <f t="shared" si="184"/>
        <v>-89.716666666666669</v>
      </c>
      <c r="J545" s="39">
        <v>250</v>
      </c>
      <c r="P545" s="58">
        <v>4</v>
      </c>
      <c r="Q545" s="58"/>
      <c r="R545" s="58"/>
      <c r="S545" s="58" t="s">
        <v>1558</v>
      </c>
      <c r="T545" s="58" t="s">
        <v>1570</v>
      </c>
      <c r="U545" s="58" t="s">
        <v>1565</v>
      </c>
      <c r="V545" s="58" t="s">
        <v>1910</v>
      </c>
      <c r="W545" s="39">
        <f t="shared" si="185"/>
        <v>1.417142857142857</v>
      </c>
      <c r="Z545" s="39" t="s">
        <v>531</v>
      </c>
      <c r="AA545" s="39">
        <f t="shared" si="186"/>
        <v>6.8714285714285719</v>
      </c>
      <c r="AD545" s="39" t="s">
        <v>1490</v>
      </c>
      <c r="AE545" s="39" t="s">
        <v>1695</v>
      </c>
      <c r="AF545" s="152" t="s">
        <v>666</v>
      </c>
      <c r="AG545" s="39" t="s">
        <v>160</v>
      </c>
      <c r="AH545" s="154" t="s">
        <v>1802</v>
      </c>
      <c r="AI545" s="39" t="s">
        <v>501</v>
      </c>
      <c r="AJ545" s="39" t="s">
        <v>501</v>
      </c>
      <c r="AK545" s="39" t="s">
        <v>212</v>
      </c>
      <c r="AO545" s="39" t="s">
        <v>517</v>
      </c>
      <c r="AP545" s="39" t="s">
        <v>517</v>
      </c>
      <c r="AR545" s="39" t="s">
        <v>510</v>
      </c>
      <c r="AS545" s="39">
        <v>4</v>
      </c>
      <c r="AT545" s="39">
        <v>4</v>
      </c>
      <c r="AU545" s="39" t="s">
        <v>169</v>
      </c>
      <c r="AY545" s="63"/>
      <c r="BG545" s="39">
        <v>1.49</v>
      </c>
      <c r="BH545" s="39">
        <v>1.43</v>
      </c>
      <c r="BJ545" s="39">
        <v>2.93</v>
      </c>
      <c r="BK545" s="39">
        <v>3.3299999999999996</v>
      </c>
      <c r="BL545" s="39" t="s">
        <v>1854</v>
      </c>
      <c r="BP545" s="39">
        <v>24.3</v>
      </c>
      <c r="BQ545" s="39">
        <v>20.8</v>
      </c>
      <c r="BS545" s="39">
        <v>145</v>
      </c>
      <c r="BT545" s="39">
        <v>104</v>
      </c>
      <c r="BV545" s="39">
        <v>7.1</v>
      </c>
      <c r="BW545" s="39">
        <v>6.7</v>
      </c>
      <c r="CH545" s="39">
        <v>293</v>
      </c>
      <c r="CI545" s="39">
        <v>365</v>
      </c>
      <c r="CJ545" s="39" t="s">
        <v>513</v>
      </c>
      <c r="CN545" s="39">
        <v>1.3393999999999999</v>
      </c>
      <c r="CO545" s="39">
        <v>1.38</v>
      </c>
      <c r="CP545" s="39" t="s">
        <v>987</v>
      </c>
      <c r="DI545" s="39">
        <v>0.23</v>
      </c>
      <c r="DJ545" s="39">
        <v>0.22700000000000001</v>
      </c>
      <c r="EJ545" s="12"/>
      <c r="EL545" s="15"/>
      <c r="EM545" s="39">
        <v>1092</v>
      </c>
      <c r="EN545" s="39">
        <v>1189</v>
      </c>
      <c r="EO545" s="39" t="s">
        <v>512</v>
      </c>
      <c r="FH545" s="39">
        <f t="shared" si="189"/>
        <v>0.26400000000000001</v>
      </c>
      <c r="FI545" s="39">
        <f>34.3*0.012</f>
        <v>0.41159999999999997</v>
      </c>
      <c r="FJ545" s="39" t="s">
        <v>516</v>
      </c>
      <c r="FO545" s="39">
        <v>99999</v>
      </c>
      <c r="FR545" s="39" t="s">
        <v>515</v>
      </c>
      <c r="FS545" s="39" t="s">
        <v>986</v>
      </c>
      <c r="FT545" s="39">
        <v>29</v>
      </c>
    </row>
    <row r="546" spans="1:176" s="39" customFormat="1" x14ac:dyDescent="0.25">
      <c r="A546" s="39">
        <v>29</v>
      </c>
      <c r="B546" s="39" t="s">
        <v>1171</v>
      </c>
      <c r="C546" s="39" t="s">
        <v>507</v>
      </c>
      <c r="D546" s="39">
        <v>2009</v>
      </c>
      <c r="E546" s="39">
        <v>2006</v>
      </c>
      <c r="F546" s="39" t="s">
        <v>342</v>
      </c>
      <c r="G546" s="39" t="s">
        <v>508</v>
      </c>
      <c r="H546" s="39">
        <f t="shared" si="183"/>
        <v>43.333333333333336</v>
      </c>
      <c r="I546" s="39">
        <f t="shared" si="184"/>
        <v>-89.716666666666669</v>
      </c>
      <c r="J546" s="39">
        <v>250</v>
      </c>
      <c r="P546" s="58">
        <v>4</v>
      </c>
      <c r="Q546" s="58"/>
      <c r="R546" s="58"/>
      <c r="S546" s="58" t="s">
        <v>1558</v>
      </c>
      <c r="T546" s="58" t="s">
        <v>1570</v>
      </c>
      <c r="U546" s="58" t="s">
        <v>1565</v>
      </c>
      <c r="V546" s="58" t="s">
        <v>1910</v>
      </c>
      <c r="W546" s="39">
        <f t="shared" si="185"/>
        <v>1.417142857142857</v>
      </c>
      <c r="Z546" s="39" t="s">
        <v>531</v>
      </c>
      <c r="AA546" s="39">
        <f t="shared" si="186"/>
        <v>6.8714285714285719</v>
      </c>
      <c r="AD546" s="39" t="s">
        <v>1490</v>
      </c>
      <c r="AE546" s="39" t="s">
        <v>1313</v>
      </c>
      <c r="AF546" s="152" t="s">
        <v>159</v>
      </c>
      <c r="AG546" s="39" t="s">
        <v>160</v>
      </c>
      <c r="AH546" s="154" t="s">
        <v>1802</v>
      </c>
      <c r="AI546" s="39" t="s">
        <v>501</v>
      </c>
      <c r="AJ546" s="39" t="s">
        <v>501</v>
      </c>
      <c r="AK546" s="39" t="s">
        <v>212</v>
      </c>
      <c r="AO546" s="39" t="s">
        <v>517</v>
      </c>
      <c r="AP546" s="39" t="s">
        <v>517</v>
      </c>
      <c r="AR546" s="39" t="s">
        <v>510</v>
      </c>
      <c r="AS546" s="39">
        <v>4</v>
      </c>
      <c r="AT546" s="39">
        <v>4</v>
      </c>
      <c r="AU546" s="39" t="s">
        <v>169</v>
      </c>
      <c r="AY546" s="63"/>
      <c r="BG546" s="39">
        <v>1.49</v>
      </c>
      <c r="BH546" s="39">
        <v>1.44</v>
      </c>
      <c r="BJ546" s="39">
        <v>2.93</v>
      </c>
      <c r="BK546" s="39">
        <v>3.3</v>
      </c>
      <c r="BL546" s="39" t="s">
        <v>1854</v>
      </c>
      <c r="BP546" s="39">
        <v>24.3</v>
      </c>
      <c r="BQ546" s="39">
        <v>22</v>
      </c>
      <c r="BS546" s="39">
        <v>145</v>
      </c>
      <c r="BT546" s="39">
        <v>132</v>
      </c>
      <c r="BV546" s="39">
        <v>7.1</v>
      </c>
      <c r="BW546" s="39">
        <v>7.2</v>
      </c>
      <c r="CH546" s="39">
        <v>293</v>
      </c>
      <c r="CI546" s="39">
        <v>355</v>
      </c>
      <c r="CJ546" s="39" t="s">
        <v>513</v>
      </c>
      <c r="CN546" s="39">
        <v>1.3393999999999999</v>
      </c>
      <c r="CO546" s="39">
        <v>1.49</v>
      </c>
      <c r="CP546" s="39" t="s">
        <v>987</v>
      </c>
      <c r="DI546" s="39">
        <v>0.23</v>
      </c>
      <c r="DJ546" s="39">
        <v>0.22700000000000001</v>
      </c>
      <c r="EJ546" s="12"/>
      <c r="EL546" s="15"/>
      <c r="EM546" s="39">
        <v>1092</v>
      </c>
      <c r="EN546" s="39">
        <v>1229</v>
      </c>
      <c r="EO546" s="39" t="s">
        <v>512</v>
      </c>
      <c r="FH546" s="39">
        <f t="shared" si="189"/>
        <v>0.26400000000000001</v>
      </c>
      <c r="FI546" s="39">
        <f>66*0.012</f>
        <v>0.79200000000000004</v>
      </c>
      <c r="FJ546" s="39" t="s">
        <v>516</v>
      </c>
      <c r="FO546" s="39">
        <v>99999</v>
      </c>
      <c r="FR546" s="39" t="s">
        <v>515</v>
      </c>
      <c r="FS546" s="39" t="s">
        <v>986</v>
      </c>
      <c r="FT546" s="39">
        <v>29</v>
      </c>
    </row>
    <row r="547" spans="1:176" s="39" customFormat="1" x14ac:dyDescent="0.25">
      <c r="A547" s="39">
        <v>29</v>
      </c>
      <c r="B547" s="39" t="s">
        <v>1171</v>
      </c>
      <c r="C547" s="39" t="s">
        <v>507</v>
      </c>
      <c r="D547" s="39">
        <v>2009</v>
      </c>
      <c r="E547" s="39">
        <v>2006</v>
      </c>
      <c r="F547" s="39" t="s">
        <v>342</v>
      </c>
      <c r="G547" s="39" t="s">
        <v>508</v>
      </c>
      <c r="H547" s="39">
        <f t="shared" si="183"/>
        <v>43.333333333333336</v>
      </c>
      <c r="I547" s="39">
        <f t="shared" si="184"/>
        <v>-89.716666666666669</v>
      </c>
      <c r="J547" s="39">
        <v>250</v>
      </c>
      <c r="P547" s="58">
        <v>4</v>
      </c>
      <c r="Q547" s="58"/>
      <c r="R547" s="58"/>
      <c r="S547" s="58" t="s">
        <v>1558</v>
      </c>
      <c r="T547" s="58" t="s">
        <v>1570</v>
      </c>
      <c r="U547" s="58" t="s">
        <v>1565</v>
      </c>
      <c r="V547" s="58" t="s">
        <v>1910</v>
      </c>
      <c r="W547" s="39">
        <f t="shared" si="185"/>
        <v>1.417142857142857</v>
      </c>
      <c r="Z547" s="39" t="s">
        <v>531</v>
      </c>
      <c r="AA547" s="39">
        <f t="shared" si="186"/>
        <v>6.8714285714285719</v>
      </c>
      <c r="AD547" s="39" t="s">
        <v>1490</v>
      </c>
      <c r="AE547" s="39" t="s">
        <v>1314</v>
      </c>
      <c r="AF547" s="152" t="s">
        <v>159</v>
      </c>
      <c r="AG547" s="39" t="s">
        <v>160</v>
      </c>
      <c r="AH547" s="154" t="s">
        <v>1802</v>
      </c>
      <c r="AI547" s="39" t="s">
        <v>501</v>
      </c>
      <c r="AJ547" s="39" t="s">
        <v>501</v>
      </c>
      <c r="AK547" s="39" t="s">
        <v>212</v>
      </c>
      <c r="AO547" s="39" t="s">
        <v>517</v>
      </c>
      <c r="AP547" s="39" t="s">
        <v>517</v>
      </c>
      <c r="AR547" s="39" t="s">
        <v>510</v>
      </c>
      <c r="AS547" s="39">
        <v>4</v>
      </c>
      <c r="AT547" s="39">
        <v>4</v>
      </c>
      <c r="AU547" s="39" t="s">
        <v>169</v>
      </c>
      <c r="AY547" s="63"/>
      <c r="BG547" s="39">
        <v>1.49</v>
      </c>
      <c r="BH547" s="39">
        <v>1.45</v>
      </c>
      <c r="BJ547" s="39">
        <v>2.93</v>
      </c>
      <c r="BK547" s="39">
        <v>3.13</v>
      </c>
      <c r="BL547" s="39" t="s">
        <v>1854</v>
      </c>
      <c r="BP547" s="39">
        <v>24.3</v>
      </c>
      <c r="BQ547" s="39">
        <v>18.8</v>
      </c>
      <c r="BS547" s="39">
        <v>145</v>
      </c>
      <c r="BT547" s="39">
        <v>147</v>
      </c>
      <c r="BV547" s="39">
        <v>7.1</v>
      </c>
      <c r="BW547" s="39">
        <v>6.8</v>
      </c>
      <c r="CH547" s="39">
        <v>293</v>
      </c>
      <c r="CI547" s="39">
        <v>302</v>
      </c>
      <c r="CJ547" s="39" t="s">
        <v>513</v>
      </c>
      <c r="CN547" s="39">
        <v>1.3393999999999999</v>
      </c>
      <c r="CO547" s="39">
        <v>1.53</v>
      </c>
      <c r="CP547" s="39" t="s">
        <v>987</v>
      </c>
      <c r="DI547" s="39">
        <v>0.23</v>
      </c>
      <c r="DJ547" s="39">
        <v>0.222</v>
      </c>
      <c r="EJ547" s="12"/>
      <c r="EL547" s="15"/>
      <c r="EM547" s="39">
        <v>1092</v>
      </c>
      <c r="EN547" s="39">
        <v>1217</v>
      </c>
      <c r="EO547" s="39" t="s">
        <v>512</v>
      </c>
      <c r="FH547" s="39">
        <f t="shared" si="189"/>
        <v>0.26400000000000001</v>
      </c>
      <c r="FI547" s="39">
        <f>41.7*0.012</f>
        <v>0.50040000000000007</v>
      </c>
      <c r="FJ547" s="39" t="s">
        <v>516</v>
      </c>
      <c r="FO547" s="39">
        <v>99999</v>
      </c>
      <c r="FR547" s="39" t="s">
        <v>515</v>
      </c>
      <c r="FS547" s="39" t="s">
        <v>986</v>
      </c>
      <c r="FT547" s="39">
        <v>29</v>
      </c>
    </row>
    <row r="548" spans="1:176" s="35" customFormat="1" x14ac:dyDescent="0.25">
      <c r="A548" s="35">
        <v>29</v>
      </c>
      <c r="B548" s="35" t="s">
        <v>1171</v>
      </c>
      <c r="C548" s="35" t="s">
        <v>507</v>
      </c>
      <c r="D548" s="35">
        <v>2009</v>
      </c>
      <c r="E548" s="35">
        <v>2006</v>
      </c>
      <c r="F548" s="35" t="s">
        <v>342</v>
      </c>
      <c r="G548" s="35" t="s">
        <v>508</v>
      </c>
      <c r="H548" s="35">
        <f t="shared" si="183"/>
        <v>43.333333333333336</v>
      </c>
      <c r="I548" s="35">
        <f t="shared" si="184"/>
        <v>-89.716666666666669</v>
      </c>
      <c r="J548" s="35">
        <v>250</v>
      </c>
      <c r="P548" s="54">
        <v>4</v>
      </c>
      <c r="Q548" s="54"/>
      <c r="R548" s="54"/>
      <c r="S548" s="54" t="s">
        <v>1558</v>
      </c>
      <c r="T548" s="54" t="s">
        <v>1570</v>
      </c>
      <c r="U548" s="54" t="s">
        <v>1565</v>
      </c>
      <c r="V548" s="54" t="s">
        <v>1910</v>
      </c>
      <c r="W548" s="35">
        <f t="shared" si="185"/>
        <v>1.417142857142857</v>
      </c>
      <c r="Z548" s="35" t="s">
        <v>531</v>
      </c>
      <c r="AA548" s="35">
        <f t="shared" si="186"/>
        <v>6.8714285714285719</v>
      </c>
      <c r="AD548" s="35" t="s">
        <v>1490</v>
      </c>
      <c r="AE548" s="35" t="s">
        <v>1715</v>
      </c>
      <c r="AF548" s="152" t="s">
        <v>666</v>
      </c>
      <c r="AG548" s="35" t="s">
        <v>509</v>
      </c>
      <c r="AH548" s="154" t="s">
        <v>1802</v>
      </c>
      <c r="AI548" s="35" t="s">
        <v>501</v>
      </c>
      <c r="AJ548" s="35" t="s">
        <v>501</v>
      </c>
      <c r="AK548" s="35" t="s">
        <v>212</v>
      </c>
      <c r="AO548" s="35" t="s">
        <v>517</v>
      </c>
      <c r="AP548" s="35" t="s">
        <v>517</v>
      </c>
      <c r="AR548" s="35" t="s">
        <v>511</v>
      </c>
      <c r="AS548" s="35">
        <v>4</v>
      </c>
      <c r="AT548" s="35">
        <v>4</v>
      </c>
      <c r="AU548" s="35" t="s">
        <v>169</v>
      </c>
      <c r="AY548" s="63"/>
      <c r="BG548" s="35">
        <v>1.4</v>
      </c>
      <c r="BH548" s="35">
        <v>1.45</v>
      </c>
      <c r="BJ548" s="35">
        <v>3.38</v>
      </c>
      <c r="BK548" s="35">
        <v>3.3</v>
      </c>
      <c r="BL548" s="35" t="s">
        <v>1854</v>
      </c>
      <c r="BP548" s="35">
        <v>28</v>
      </c>
      <c r="BQ548" s="35">
        <v>20.8</v>
      </c>
      <c r="BS548" s="35">
        <v>120</v>
      </c>
      <c r="BT548" s="35">
        <v>104</v>
      </c>
      <c r="BV548" s="35">
        <v>6.7</v>
      </c>
      <c r="BW548" s="35">
        <v>6.8</v>
      </c>
      <c r="CH548" s="35">
        <v>369</v>
      </c>
      <c r="CI548" s="35">
        <v>313</v>
      </c>
      <c r="CJ548" s="35" t="s">
        <v>513</v>
      </c>
      <c r="CN548" s="35">
        <v>1.4172</v>
      </c>
      <c r="CO548" s="35">
        <v>1.2694000000000001</v>
      </c>
      <c r="CP548" s="35" t="s">
        <v>987</v>
      </c>
      <c r="DI548" s="35">
        <v>0.23</v>
      </c>
      <c r="DJ548" s="35">
        <v>0.23499999999999999</v>
      </c>
      <c r="EJ548" s="12"/>
      <c r="EL548" s="15"/>
      <c r="EM548" s="35">
        <v>1172</v>
      </c>
      <c r="EN548" s="35">
        <v>1178</v>
      </c>
      <c r="EO548" s="35" t="s">
        <v>512</v>
      </c>
      <c r="FH548" s="35">
        <f>40.7*0.012</f>
        <v>0.48840000000000006</v>
      </c>
      <c r="FI548" s="35">
        <f>54.3*0.012</f>
        <v>0.65159999999999996</v>
      </c>
      <c r="FJ548" s="35" t="s">
        <v>516</v>
      </c>
      <c r="FO548" s="39">
        <v>99999</v>
      </c>
      <c r="FR548" s="35" t="s">
        <v>515</v>
      </c>
      <c r="FS548" s="35" t="s">
        <v>986</v>
      </c>
      <c r="FT548" s="35">
        <v>29</v>
      </c>
    </row>
    <row r="549" spans="1:176" s="35" customFormat="1" x14ac:dyDescent="0.25">
      <c r="A549" s="35">
        <v>29</v>
      </c>
      <c r="B549" s="35" t="s">
        <v>1171</v>
      </c>
      <c r="C549" s="35" t="s">
        <v>507</v>
      </c>
      <c r="D549" s="35">
        <v>2009</v>
      </c>
      <c r="E549" s="35">
        <v>2006</v>
      </c>
      <c r="F549" s="35" t="s">
        <v>342</v>
      </c>
      <c r="G549" s="35" t="s">
        <v>508</v>
      </c>
      <c r="H549" s="35">
        <f t="shared" si="183"/>
        <v>43.333333333333336</v>
      </c>
      <c r="I549" s="35">
        <f t="shared" si="184"/>
        <v>-89.716666666666669</v>
      </c>
      <c r="J549" s="35">
        <v>250</v>
      </c>
      <c r="P549" s="54">
        <v>4</v>
      </c>
      <c r="Q549" s="54"/>
      <c r="R549" s="54"/>
      <c r="S549" s="54" t="s">
        <v>1558</v>
      </c>
      <c r="T549" s="54" t="s">
        <v>1570</v>
      </c>
      <c r="U549" s="54" t="s">
        <v>1565</v>
      </c>
      <c r="V549" s="54" t="s">
        <v>1910</v>
      </c>
      <c r="W549" s="35">
        <f t="shared" si="185"/>
        <v>1.417142857142857</v>
      </c>
      <c r="Z549" s="35" t="s">
        <v>531</v>
      </c>
      <c r="AA549" s="35">
        <f t="shared" si="186"/>
        <v>6.8714285714285719</v>
      </c>
      <c r="AD549" s="35" t="s">
        <v>1490</v>
      </c>
      <c r="AE549" s="35" t="s">
        <v>1715</v>
      </c>
      <c r="AF549" s="152" t="s">
        <v>666</v>
      </c>
      <c r="AG549" s="35" t="s">
        <v>160</v>
      </c>
      <c r="AH549" s="154" t="s">
        <v>1802</v>
      </c>
      <c r="AI549" s="35" t="s">
        <v>501</v>
      </c>
      <c r="AJ549" s="35" t="s">
        <v>501</v>
      </c>
      <c r="AK549" s="35" t="s">
        <v>212</v>
      </c>
      <c r="AO549" s="35" t="s">
        <v>517</v>
      </c>
      <c r="AP549" s="35" t="s">
        <v>517</v>
      </c>
      <c r="AR549" s="35" t="s">
        <v>511</v>
      </c>
      <c r="AS549" s="35">
        <v>4</v>
      </c>
      <c r="AT549" s="35">
        <v>4</v>
      </c>
      <c r="AU549" s="35" t="s">
        <v>169</v>
      </c>
      <c r="AY549" s="63"/>
      <c r="BG549" s="35">
        <v>1.4</v>
      </c>
      <c r="BH549" s="35">
        <v>1.42</v>
      </c>
      <c r="BJ549" s="35">
        <v>3.38</v>
      </c>
      <c r="BK549" s="35">
        <v>3.38</v>
      </c>
      <c r="BL549" s="35" t="s">
        <v>1854</v>
      </c>
      <c r="BP549" s="35">
        <v>28</v>
      </c>
      <c r="BQ549" s="35">
        <v>19</v>
      </c>
      <c r="BS549" s="35">
        <v>120</v>
      </c>
      <c r="BT549" s="35">
        <v>121</v>
      </c>
      <c r="BV549" s="35">
        <v>6.7</v>
      </c>
      <c r="BW549" s="35">
        <v>6.6</v>
      </c>
      <c r="CH549" s="35">
        <v>369</v>
      </c>
      <c r="CI549" s="35">
        <v>404</v>
      </c>
      <c r="CJ549" s="35" t="s">
        <v>513</v>
      </c>
      <c r="CN549" s="35">
        <v>1.4172</v>
      </c>
      <c r="CO549" s="35">
        <v>1.3277000000000001</v>
      </c>
      <c r="CP549" s="35" t="s">
        <v>987</v>
      </c>
      <c r="DI549" s="35">
        <v>0.23</v>
      </c>
      <c r="DJ549" s="35">
        <v>0.22800000000000001</v>
      </c>
      <c r="EJ549" s="12"/>
      <c r="EL549" s="15"/>
      <c r="EM549" s="35">
        <v>1172</v>
      </c>
      <c r="EN549" s="35">
        <v>1169</v>
      </c>
      <c r="EO549" s="35" t="s">
        <v>512</v>
      </c>
      <c r="FH549" s="35">
        <f t="shared" ref="FH549:FH553" si="190">40.7*0.012</f>
        <v>0.48840000000000006</v>
      </c>
      <c r="FI549" s="35">
        <f>29.1*0.012</f>
        <v>0.34920000000000001</v>
      </c>
      <c r="FJ549" s="35" t="s">
        <v>516</v>
      </c>
      <c r="FO549" s="39">
        <v>99999</v>
      </c>
      <c r="FR549" s="35" t="s">
        <v>515</v>
      </c>
      <c r="FS549" s="35" t="s">
        <v>986</v>
      </c>
      <c r="FT549" s="35">
        <v>29</v>
      </c>
    </row>
    <row r="550" spans="1:176" s="35" customFormat="1" x14ac:dyDescent="0.25">
      <c r="A550" s="35">
        <v>29</v>
      </c>
      <c r="B550" s="35" t="s">
        <v>1171</v>
      </c>
      <c r="C550" s="35" t="s">
        <v>507</v>
      </c>
      <c r="D550" s="35">
        <v>2009</v>
      </c>
      <c r="E550" s="35">
        <v>2006</v>
      </c>
      <c r="F550" s="35" t="s">
        <v>342</v>
      </c>
      <c r="G550" s="35" t="s">
        <v>508</v>
      </c>
      <c r="H550" s="35">
        <f t="shared" si="183"/>
        <v>43.333333333333336</v>
      </c>
      <c r="I550" s="35">
        <f t="shared" si="184"/>
        <v>-89.716666666666669</v>
      </c>
      <c r="J550" s="35">
        <v>250</v>
      </c>
      <c r="P550" s="54">
        <v>4</v>
      </c>
      <c r="Q550" s="54"/>
      <c r="R550" s="54"/>
      <c r="S550" s="54" t="s">
        <v>1558</v>
      </c>
      <c r="T550" s="54" t="s">
        <v>1570</v>
      </c>
      <c r="U550" s="54" t="s">
        <v>1565</v>
      </c>
      <c r="V550" s="54" t="s">
        <v>1910</v>
      </c>
      <c r="W550" s="35">
        <f t="shared" si="185"/>
        <v>1.417142857142857</v>
      </c>
      <c r="Z550" s="35" t="s">
        <v>531</v>
      </c>
      <c r="AA550" s="35">
        <f t="shared" si="186"/>
        <v>6.8714285714285719</v>
      </c>
      <c r="AD550" s="35" t="s">
        <v>1490</v>
      </c>
      <c r="AE550" s="35" t="s">
        <v>1695</v>
      </c>
      <c r="AF550" s="152" t="s">
        <v>666</v>
      </c>
      <c r="AG550" s="35" t="s">
        <v>509</v>
      </c>
      <c r="AH550" s="154" t="s">
        <v>1802</v>
      </c>
      <c r="AI550" s="35" t="s">
        <v>501</v>
      </c>
      <c r="AJ550" s="35" t="s">
        <v>501</v>
      </c>
      <c r="AK550" s="35" t="s">
        <v>212</v>
      </c>
      <c r="AO550" s="35" t="s">
        <v>517</v>
      </c>
      <c r="AP550" s="35" t="s">
        <v>517</v>
      </c>
      <c r="AR550" s="35" t="s">
        <v>511</v>
      </c>
      <c r="AS550" s="35">
        <v>4</v>
      </c>
      <c r="AT550" s="35">
        <v>4</v>
      </c>
      <c r="AU550" s="35" t="s">
        <v>169</v>
      </c>
      <c r="AY550" s="63"/>
      <c r="BG550" s="35">
        <v>1.4</v>
      </c>
      <c r="BH550" s="35">
        <v>1.48</v>
      </c>
      <c r="BJ550" s="35">
        <v>3.38</v>
      </c>
      <c r="BK550" s="35">
        <v>3.25</v>
      </c>
      <c r="BL550" s="35" t="s">
        <v>1854</v>
      </c>
      <c r="BP550" s="35">
        <v>28</v>
      </c>
      <c r="BQ550" s="35">
        <v>22.5</v>
      </c>
      <c r="BS550" s="35">
        <v>120</v>
      </c>
      <c r="BT550" s="35">
        <v>92</v>
      </c>
      <c r="BV550" s="35">
        <v>6.7</v>
      </c>
      <c r="BW550" s="35">
        <v>7</v>
      </c>
      <c r="CH550" s="35">
        <v>369</v>
      </c>
      <c r="CI550" s="35">
        <v>279</v>
      </c>
      <c r="CJ550" s="35" t="s">
        <v>513</v>
      </c>
      <c r="CN550" s="35">
        <v>1.4172</v>
      </c>
      <c r="CO550" s="35">
        <v>1.3549</v>
      </c>
      <c r="CP550" s="35" t="s">
        <v>987</v>
      </c>
      <c r="DI550" s="35">
        <v>0.23</v>
      </c>
      <c r="DJ550" s="35">
        <v>0.22700000000000001</v>
      </c>
      <c r="EJ550" s="12"/>
      <c r="EL550" s="15"/>
      <c r="EM550" s="35">
        <v>1172</v>
      </c>
      <c r="EN550" s="35">
        <v>1148</v>
      </c>
      <c r="EO550" s="35" t="s">
        <v>512</v>
      </c>
      <c r="FH550" s="35">
        <f t="shared" si="190"/>
        <v>0.48840000000000006</v>
      </c>
      <c r="FI550" s="35">
        <f>43.9*0.012</f>
        <v>0.52680000000000005</v>
      </c>
      <c r="FJ550" s="35" t="s">
        <v>516</v>
      </c>
      <c r="FO550" s="39">
        <v>99999</v>
      </c>
      <c r="FR550" s="35" t="s">
        <v>515</v>
      </c>
      <c r="FS550" s="35" t="s">
        <v>986</v>
      </c>
      <c r="FT550" s="35">
        <v>29</v>
      </c>
    </row>
    <row r="551" spans="1:176" s="35" customFormat="1" x14ac:dyDescent="0.25">
      <c r="A551" s="35">
        <v>29</v>
      </c>
      <c r="B551" s="35" t="s">
        <v>1171</v>
      </c>
      <c r="C551" s="35" t="s">
        <v>507</v>
      </c>
      <c r="D551" s="35">
        <v>2009</v>
      </c>
      <c r="E551" s="35">
        <v>2006</v>
      </c>
      <c r="F551" s="35" t="s">
        <v>342</v>
      </c>
      <c r="G551" s="35" t="s">
        <v>508</v>
      </c>
      <c r="H551" s="35">
        <f t="shared" si="183"/>
        <v>43.333333333333336</v>
      </c>
      <c r="I551" s="35">
        <f t="shared" si="184"/>
        <v>-89.716666666666669</v>
      </c>
      <c r="J551" s="35">
        <v>250</v>
      </c>
      <c r="P551" s="54">
        <v>4</v>
      </c>
      <c r="Q551" s="54"/>
      <c r="R551" s="54"/>
      <c r="S551" s="54" t="s">
        <v>1558</v>
      </c>
      <c r="T551" s="54" t="s">
        <v>1570</v>
      </c>
      <c r="U551" s="54" t="s">
        <v>1565</v>
      </c>
      <c r="V551" s="54" t="s">
        <v>1910</v>
      </c>
      <c r="W551" s="35">
        <f t="shared" si="185"/>
        <v>1.417142857142857</v>
      </c>
      <c r="Z551" s="35" t="s">
        <v>531</v>
      </c>
      <c r="AA551" s="35">
        <f t="shared" si="186"/>
        <v>6.8714285714285719</v>
      </c>
      <c r="AD551" s="35" t="s">
        <v>1490</v>
      </c>
      <c r="AE551" s="35" t="s">
        <v>1695</v>
      </c>
      <c r="AF551" s="152" t="s">
        <v>666</v>
      </c>
      <c r="AG551" s="35" t="s">
        <v>160</v>
      </c>
      <c r="AH551" s="154" t="s">
        <v>1802</v>
      </c>
      <c r="AI551" s="35" t="s">
        <v>501</v>
      </c>
      <c r="AJ551" s="35" t="s">
        <v>501</v>
      </c>
      <c r="AK551" s="35" t="s">
        <v>212</v>
      </c>
      <c r="AO551" s="35" t="s">
        <v>517</v>
      </c>
      <c r="AP551" s="35" t="s">
        <v>517</v>
      </c>
      <c r="AR551" s="35" t="s">
        <v>511</v>
      </c>
      <c r="AS551" s="35">
        <v>4</v>
      </c>
      <c r="AT551" s="35">
        <v>4</v>
      </c>
      <c r="AU551" s="35" t="s">
        <v>169</v>
      </c>
      <c r="AY551" s="63"/>
      <c r="BG551" s="35">
        <v>1.4</v>
      </c>
      <c r="BH551" s="35">
        <v>1.43</v>
      </c>
      <c r="BJ551" s="35">
        <v>3.38</v>
      </c>
      <c r="BK551" s="35">
        <v>3.3299999999999996</v>
      </c>
      <c r="BL551" s="35" t="s">
        <v>1854</v>
      </c>
      <c r="BP551" s="35">
        <v>28</v>
      </c>
      <c r="BQ551" s="35">
        <v>20.8</v>
      </c>
      <c r="BS551" s="35">
        <v>120</v>
      </c>
      <c r="BT551" s="35">
        <v>104</v>
      </c>
      <c r="BV551" s="35">
        <v>6.7</v>
      </c>
      <c r="BW551" s="35">
        <v>6.7</v>
      </c>
      <c r="CH551" s="35">
        <v>369</v>
      </c>
      <c r="CI551" s="35">
        <v>365</v>
      </c>
      <c r="CJ551" s="35" t="s">
        <v>513</v>
      </c>
      <c r="CN551" s="35">
        <v>1.4172</v>
      </c>
      <c r="CO551" s="35">
        <v>1.38</v>
      </c>
      <c r="CP551" s="35" t="s">
        <v>987</v>
      </c>
      <c r="DI551" s="35">
        <v>0.23</v>
      </c>
      <c r="DJ551" s="35">
        <v>0.22700000000000001</v>
      </c>
      <c r="EJ551" s="12"/>
      <c r="EL551" s="15"/>
      <c r="EM551" s="35">
        <v>1172</v>
      </c>
      <c r="EN551" s="35">
        <v>1189</v>
      </c>
      <c r="EO551" s="35" t="s">
        <v>512</v>
      </c>
      <c r="FH551" s="35">
        <f t="shared" si="190"/>
        <v>0.48840000000000006</v>
      </c>
      <c r="FI551" s="35">
        <f>34.3*0.012</f>
        <v>0.41159999999999997</v>
      </c>
      <c r="FJ551" s="35" t="s">
        <v>516</v>
      </c>
      <c r="FO551" s="39">
        <v>99999</v>
      </c>
      <c r="FR551" s="35" t="s">
        <v>515</v>
      </c>
      <c r="FS551" s="35" t="s">
        <v>986</v>
      </c>
      <c r="FT551" s="35">
        <v>29</v>
      </c>
    </row>
    <row r="552" spans="1:176" s="35" customFormat="1" x14ac:dyDescent="0.25">
      <c r="A552" s="35">
        <v>29</v>
      </c>
      <c r="B552" s="35" t="s">
        <v>1171</v>
      </c>
      <c r="C552" s="35" t="s">
        <v>507</v>
      </c>
      <c r="D552" s="35">
        <v>2009</v>
      </c>
      <c r="E552" s="35">
        <v>2006</v>
      </c>
      <c r="F552" s="35" t="s">
        <v>342</v>
      </c>
      <c r="G552" s="35" t="s">
        <v>508</v>
      </c>
      <c r="H552" s="35">
        <f t="shared" si="183"/>
        <v>43.333333333333336</v>
      </c>
      <c r="I552" s="35">
        <f t="shared" si="184"/>
        <v>-89.716666666666669</v>
      </c>
      <c r="J552" s="35">
        <v>250</v>
      </c>
      <c r="P552" s="54">
        <v>4</v>
      </c>
      <c r="Q552" s="54"/>
      <c r="R552" s="54"/>
      <c r="S552" s="54" t="s">
        <v>1558</v>
      </c>
      <c r="T552" s="54" t="s">
        <v>1570</v>
      </c>
      <c r="U552" s="54" t="s">
        <v>1565</v>
      </c>
      <c r="V552" s="54" t="s">
        <v>1910</v>
      </c>
      <c r="W552" s="35">
        <f t="shared" si="185"/>
        <v>1.417142857142857</v>
      </c>
      <c r="Z552" s="35" t="s">
        <v>531</v>
      </c>
      <c r="AA552" s="35">
        <f t="shared" si="186"/>
        <v>6.8714285714285719</v>
      </c>
      <c r="AD552" s="35" t="s">
        <v>1490</v>
      </c>
      <c r="AE552" s="35" t="s">
        <v>1313</v>
      </c>
      <c r="AF552" s="152" t="s">
        <v>159</v>
      </c>
      <c r="AG552" s="35" t="s">
        <v>160</v>
      </c>
      <c r="AH552" s="154" t="s">
        <v>1802</v>
      </c>
      <c r="AI552" s="35" t="s">
        <v>501</v>
      </c>
      <c r="AJ552" s="35" t="s">
        <v>501</v>
      </c>
      <c r="AK552" s="35" t="s">
        <v>212</v>
      </c>
      <c r="AO552" s="35" t="s">
        <v>517</v>
      </c>
      <c r="AP552" s="35" t="s">
        <v>517</v>
      </c>
      <c r="AR552" s="35" t="s">
        <v>511</v>
      </c>
      <c r="AS552" s="35">
        <v>4</v>
      </c>
      <c r="AT552" s="35">
        <v>4</v>
      </c>
      <c r="AU552" s="35" t="s">
        <v>169</v>
      </c>
      <c r="AY552" s="63"/>
      <c r="BG552" s="35">
        <v>1.4</v>
      </c>
      <c r="BH552" s="35">
        <v>1.44</v>
      </c>
      <c r="BJ552" s="35">
        <v>3.38</v>
      </c>
      <c r="BK552" s="35">
        <v>3.3</v>
      </c>
      <c r="BL552" s="35" t="s">
        <v>1854</v>
      </c>
      <c r="BP552" s="35">
        <v>28</v>
      </c>
      <c r="BQ552" s="35">
        <v>22</v>
      </c>
      <c r="BS552" s="35">
        <v>120</v>
      </c>
      <c r="BT552" s="35">
        <v>132</v>
      </c>
      <c r="BV552" s="35">
        <v>6.7</v>
      </c>
      <c r="BW552" s="35">
        <v>7.2</v>
      </c>
      <c r="CH552" s="35">
        <v>369</v>
      </c>
      <c r="CI552" s="35">
        <v>355</v>
      </c>
      <c r="CJ552" s="35" t="s">
        <v>513</v>
      </c>
      <c r="CN552" s="35">
        <v>1.4172</v>
      </c>
      <c r="CO552" s="35">
        <v>1.49</v>
      </c>
      <c r="CP552" s="35" t="s">
        <v>987</v>
      </c>
      <c r="DI552" s="35">
        <v>0.23</v>
      </c>
      <c r="DJ552" s="35">
        <v>0.22700000000000001</v>
      </c>
      <c r="EJ552" s="12"/>
      <c r="EL552" s="15"/>
      <c r="EM552" s="35">
        <v>1172</v>
      </c>
      <c r="EN552" s="35">
        <v>1229</v>
      </c>
      <c r="EO552" s="35" t="s">
        <v>512</v>
      </c>
      <c r="FH552" s="35">
        <f t="shared" si="190"/>
        <v>0.48840000000000006</v>
      </c>
      <c r="FI552" s="35">
        <f>66*0.012</f>
        <v>0.79200000000000004</v>
      </c>
      <c r="FJ552" s="35" t="s">
        <v>516</v>
      </c>
      <c r="FO552" s="39">
        <v>99999</v>
      </c>
      <c r="FR552" s="35" t="s">
        <v>515</v>
      </c>
      <c r="FS552" s="35" t="s">
        <v>986</v>
      </c>
      <c r="FT552" s="35">
        <v>29</v>
      </c>
    </row>
    <row r="553" spans="1:176" s="35" customFormat="1" x14ac:dyDescent="0.25">
      <c r="A553" s="35">
        <v>29</v>
      </c>
      <c r="B553" s="35" t="s">
        <v>1171</v>
      </c>
      <c r="C553" s="35" t="s">
        <v>507</v>
      </c>
      <c r="D553" s="35">
        <v>2009</v>
      </c>
      <c r="E553" s="35">
        <v>2006</v>
      </c>
      <c r="F553" s="35" t="s">
        <v>342</v>
      </c>
      <c r="G553" s="35" t="s">
        <v>508</v>
      </c>
      <c r="H553" s="35">
        <f t="shared" si="183"/>
        <v>43.333333333333336</v>
      </c>
      <c r="I553" s="35">
        <f t="shared" si="184"/>
        <v>-89.716666666666669</v>
      </c>
      <c r="J553" s="35">
        <v>250</v>
      </c>
      <c r="P553" s="54">
        <v>4</v>
      </c>
      <c r="Q553" s="54"/>
      <c r="R553" s="54"/>
      <c r="S553" s="54" t="s">
        <v>1558</v>
      </c>
      <c r="T553" s="54" t="s">
        <v>1570</v>
      </c>
      <c r="U553" s="54" t="s">
        <v>1565</v>
      </c>
      <c r="V553" s="54" t="s">
        <v>1910</v>
      </c>
      <c r="W553" s="35">
        <f t="shared" si="185"/>
        <v>1.417142857142857</v>
      </c>
      <c r="Z553" s="35" t="s">
        <v>531</v>
      </c>
      <c r="AA553" s="35">
        <f t="shared" si="186"/>
        <v>6.8714285714285719</v>
      </c>
      <c r="AD553" s="35" t="s">
        <v>1490</v>
      </c>
      <c r="AE553" s="35" t="s">
        <v>1314</v>
      </c>
      <c r="AF553" s="152" t="s">
        <v>159</v>
      </c>
      <c r="AG553" s="35" t="s">
        <v>160</v>
      </c>
      <c r="AH553" s="154" t="s">
        <v>1802</v>
      </c>
      <c r="AI553" s="35" t="s">
        <v>501</v>
      </c>
      <c r="AJ553" s="35" t="s">
        <v>501</v>
      </c>
      <c r="AK553" s="35" t="s">
        <v>212</v>
      </c>
      <c r="AO553" s="35" t="s">
        <v>517</v>
      </c>
      <c r="AP553" s="35" t="s">
        <v>517</v>
      </c>
      <c r="AR553" s="35" t="s">
        <v>511</v>
      </c>
      <c r="AS553" s="35">
        <v>4</v>
      </c>
      <c r="AT553" s="35">
        <v>4</v>
      </c>
      <c r="AU553" s="35" t="s">
        <v>169</v>
      </c>
      <c r="AY553" s="63"/>
      <c r="BG553" s="35">
        <v>1.4</v>
      </c>
      <c r="BH553" s="35">
        <v>1.45</v>
      </c>
      <c r="BJ553" s="35">
        <v>3.38</v>
      </c>
      <c r="BK553" s="35">
        <v>3.13</v>
      </c>
      <c r="BL553" s="35" t="s">
        <v>1854</v>
      </c>
      <c r="BP553" s="35">
        <v>28</v>
      </c>
      <c r="BQ553" s="35">
        <v>18.8</v>
      </c>
      <c r="BS553" s="35">
        <v>120</v>
      </c>
      <c r="BT553" s="35">
        <v>147</v>
      </c>
      <c r="BV553" s="35">
        <v>6.7</v>
      </c>
      <c r="BW553" s="35">
        <v>6.8</v>
      </c>
      <c r="CH553" s="35">
        <v>369</v>
      </c>
      <c r="CI553" s="35">
        <v>302</v>
      </c>
      <c r="CJ553" s="35" t="s">
        <v>513</v>
      </c>
      <c r="CN553" s="35">
        <v>1.4172</v>
      </c>
      <c r="CO553" s="35">
        <v>1.53</v>
      </c>
      <c r="CP553" s="35" t="s">
        <v>987</v>
      </c>
      <c r="DI553" s="35">
        <v>0.23</v>
      </c>
      <c r="DJ553" s="35">
        <v>0.222</v>
      </c>
      <c r="EJ553" s="12"/>
      <c r="EL553" s="15"/>
      <c r="EM553" s="35">
        <v>1172</v>
      </c>
      <c r="EN553" s="35">
        <v>1217</v>
      </c>
      <c r="EO553" s="35" t="s">
        <v>512</v>
      </c>
      <c r="FH553" s="35">
        <f t="shared" si="190"/>
        <v>0.48840000000000006</v>
      </c>
      <c r="FI553" s="35">
        <f>41.7*0.012</f>
        <v>0.50040000000000007</v>
      </c>
      <c r="FJ553" s="35" t="s">
        <v>516</v>
      </c>
      <c r="FO553" s="39">
        <v>99999</v>
      </c>
      <c r="FR553" s="35" t="s">
        <v>515</v>
      </c>
      <c r="FS553" s="35" t="s">
        <v>986</v>
      </c>
      <c r="FT553" s="35">
        <v>29</v>
      </c>
    </row>
    <row r="554" spans="1:176" s="39" customFormat="1" x14ac:dyDescent="0.25">
      <c r="A554" s="39">
        <v>29</v>
      </c>
      <c r="B554" s="39" t="s">
        <v>1171</v>
      </c>
      <c r="C554" s="39" t="s">
        <v>507</v>
      </c>
      <c r="D554" s="39">
        <v>2009</v>
      </c>
      <c r="E554" s="39">
        <v>2006</v>
      </c>
      <c r="F554" s="39" t="s">
        <v>342</v>
      </c>
      <c r="G554" s="39" t="s">
        <v>508</v>
      </c>
      <c r="H554" s="39">
        <f t="shared" si="183"/>
        <v>43.333333333333336</v>
      </c>
      <c r="I554" s="39">
        <f t="shared" si="184"/>
        <v>-89.716666666666669</v>
      </c>
      <c r="J554" s="39">
        <v>250</v>
      </c>
      <c r="P554" s="58">
        <v>4</v>
      </c>
      <c r="Q554" s="58"/>
      <c r="R554" s="58"/>
      <c r="S554" s="58" t="s">
        <v>1565</v>
      </c>
      <c r="T554" s="58" t="s">
        <v>1570</v>
      </c>
      <c r="U554" s="58" t="s">
        <v>1565</v>
      </c>
      <c r="V554" s="58" t="s">
        <v>1910</v>
      </c>
      <c r="W554" s="39">
        <f t="shared" si="185"/>
        <v>1.417142857142857</v>
      </c>
      <c r="Z554" s="39" t="s">
        <v>531</v>
      </c>
      <c r="AA554" s="39">
        <f t="shared" si="186"/>
        <v>6.8714285714285719</v>
      </c>
      <c r="AD554" s="39" t="s">
        <v>1490</v>
      </c>
      <c r="AE554" s="39" t="s">
        <v>1715</v>
      </c>
      <c r="AF554" s="152" t="s">
        <v>666</v>
      </c>
      <c r="AG554" s="39" t="s">
        <v>509</v>
      </c>
      <c r="AH554" s="154" t="s">
        <v>1802</v>
      </c>
      <c r="AI554" s="39" t="s">
        <v>501</v>
      </c>
      <c r="AJ554" s="39" t="s">
        <v>501</v>
      </c>
      <c r="AK554" s="39" t="s">
        <v>212</v>
      </c>
      <c r="AO554" s="39" t="s">
        <v>517</v>
      </c>
      <c r="AP554" s="39" t="s">
        <v>517</v>
      </c>
      <c r="AR554" s="39" t="s">
        <v>510</v>
      </c>
      <c r="AS554" s="39">
        <v>4</v>
      </c>
      <c r="AT554" s="39">
        <v>4</v>
      </c>
      <c r="AU554" s="39" t="s">
        <v>169</v>
      </c>
      <c r="AY554" s="63"/>
      <c r="BG554" s="39">
        <v>1.57</v>
      </c>
      <c r="BH554" s="39">
        <v>1.55</v>
      </c>
      <c r="BJ554" s="39">
        <v>2.58</v>
      </c>
      <c r="BK554" s="39">
        <v>2.75</v>
      </c>
      <c r="BL554" s="39" t="s">
        <v>1854</v>
      </c>
      <c r="BP554" s="39">
        <v>23.8</v>
      </c>
      <c r="BQ554" s="39">
        <v>16.8</v>
      </c>
      <c r="BS554" s="39">
        <v>130</v>
      </c>
      <c r="BT554" s="39">
        <v>77</v>
      </c>
      <c r="BV554" s="39">
        <v>6.7</v>
      </c>
      <c r="BW554" s="39">
        <v>6.7</v>
      </c>
      <c r="CH554" s="39">
        <v>166</v>
      </c>
      <c r="CI554" s="39">
        <v>263</v>
      </c>
      <c r="CJ554" s="39" t="s">
        <v>513</v>
      </c>
      <c r="CN554" s="39">
        <v>1.49</v>
      </c>
      <c r="CO554" s="39">
        <v>1.3345</v>
      </c>
      <c r="CP554" s="39" t="s">
        <v>987</v>
      </c>
      <c r="DI554" s="39">
        <v>0.23400000000000001</v>
      </c>
      <c r="DJ554" s="39">
        <v>0.23200000000000001</v>
      </c>
      <c r="EJ554" s="12"/>
      <c r="EL554" s="15"/>
      <c r="EM554" s="39">
        <v>797</v>
      </c>
      <c r="EN554" s="39">
        <v>977</v>
      </c>
      <c r="EO554" s="39" t="s">
        <v>512</v>
      </c>
      <c r="FO554" s="39">
        <v>99999</v>
      </c>
      <c r="FR554" s="39" t="s">
        <v>515</v>
      </c>
      <c r="FS554" s="39" t="s">
        <v>986</v>
      </c>
      <c r="FT554" s="39">
        <v>29</v>
      </c>
    </row>
    <row r="555" spans="1:176" s="39" customFormat="1" x14ac:dyDescent="0.25">
      <c r="A555" s="39">
        <v>29</v>
      </c>
      <c r="B555" s="39" t="s">
        <v>1171</v>
      </c>
      <c r="C555" s="39" t="s">
        <v>507</v>
      </c>
      <c r="D555" s="39">
        <v>2009</v>
      </c>
      <c r="E555" s="39">
        <v>2006</v>
      </c>
      <c r="F555" s="39" t="s">
        <v>342</v>
      </c>
      <c r="G555" s="39" t="s">
        <v>508</v>
      </c>
      <c r="H555" s="39">
        <f t="shared" si="183"/>
        <v>43.333333333333336</v>
      </c>
      <c r="I555" s="39">
        <f t="shared" si="184"/>
        <v>-89.716666666666669</v>
      </c>
      <c r="J555" s="39">
        <v>250</v>
      </c>
      <c r="P555" s="58">
        <v>4</v>
      </c>
      <c r="Q555" s="58"/>
      <c r="R555" s="58"/>
      <c r="S555" s="58" t="s">
        <v>1565</v>
      </c>
      <c r="T555" s="58" t="s">
        <v>1570</v>
      </c>
      <c r="U555" s="58" t="s">
        <v>1565</v>
      </c>
      <c r="V555" s="58" t="s">
        <v>1910</v>
      </c>
      <c r="W555" s="39">
        <f t="shared" si="185"/>
        <v>1.417142857142857</v>
      </c>
      <c r="Z555" s="39" t="s">
        <v>531</v>
      </c>
      <c r="AA555" s="39">
        <f t="shared" si="186"/>
        <v>6.8714285714285719</v>
      </c>
      <c r="AD555" s="39" t="s">
        <v>1490</v>
      </c>
      <c r="AE555" s="39" t="s">
        <v>1715</v>
      </c>
      <c r="AF555" s="152" t="s">
        <v>666</v>
      </c>
      <c r="AG555" s="39" t="s">
        <v>160</v>
      </c>
      <c r="AH555" s="154" t="s">
        <v>1802</v>
      </c>
      <c r="AI555" s="39" t="s">
        <v>501</v>
      </c>
      <c r="AJ555" s="39" t="s">
        <v>501</v>
      </c>
      <c r="AK555" s="39" t="s">
        <v>212</v>
      </c>
      <c r="AO555" s="39" t="s">
        <v>517</v>
      </c>
      <c r="AP555" s="39" t="s">
        <v>517</v>
      </c>
      <c r="AR555" s="39" t="s">
        <v>510</v>
      </c>
      <c r="AS555" s="39">
        <v>4</v>
      </c>
      <c r="AT555" s="39">
        <v>4</v>
      </c>
      <c r="AU555" s="39" t="s">
        <v>169</v>
      </c>
      <c r="AY555" s="63"/>
      <c r="BG555" s="39">
        <v>1.57</v>
      </c>
      <c r="BH555" s="39">
        <v>1.5</v>
      </c>
      <c r="BJ555" s="39">
        <v>2.58</v>
      </c>
      <c r="BK555" s="39">
        <v>2.9</v>
      </c>
      <c r="BL555" s="39" t="s">
        <v>1854</v>
      </c>
      <c r="BP555" s="39">
        <v>23.8</v>
      </c>
      <c r="BQ555" s="39">
        <v>15.3</v>
      </c>
      <c r="BS555" s="39">
        <v>130</v>
      </c>
      <c r="BT555" s="39">
        <v>77</v>
      </c>
      <c r="BV555" s="39">
        <v>6.7</v>
      </c>
      <c r="BW555" s="39">
        <v>7</v>
      </c>
      <c r="CH555" s="39">
        <v>166</v>
      </c>
      <c r="CI555" s="39">
        <v>286</v>
      </c>
      <c r="CJ555" s="39" t="s">
        <v>513</v>
      </c>
      <c r="CN555" s="39">
        <v>1.49</v>
      </c>
      <c r="CO555" s="39">
        <v>1.6107</v>
      </c>
      <c r="CP555" s="39" t="s">
        <v>987</v>
      </c>
      <c r="DI555" s="39">
        <v>0.23400000000000001</v>
      </c>
      <c r="DJ555" s="39">
        <v>0.23899999999999999</v>
      </c>
      <c r="EJ555" s="12"/>
      <c r="EL555" s="15"/>
      <c r="EM555" s="39">
        <v>797</v>
      </c>
      <c r="EN555" s="39">
        <v>962</v>
      </c>
      <c r="EO555" s="39" t="s">
        <v>512</v>
      </c>
      <c r="FO555" s="39">
        <v>99999</v>
      </c>
      <c r="FR555" s="39" t="s">
        <v>515</v>
      </c>
      <c r="FS555" s="39" t="s">
        <v>986</v>
      </c>
      <c r="FT555" s="39">
        <v>29</v>
      </c>
    </row>
    <row r="556" spans="1:176" s="39" customFormat="1" x14ac:dyDescent="0.25">
      <c r="A556" s="39">
        <v>29</v>
      </c>
      <c r="B556" s="39" t="s">
        <v>1171</v>
      </c>
      <c r="C556" s="39" t="s">
        <v>507</v>
      </c>
      <c r="D556" s="39">
        <v>2009</v>
      </c>
      <c r="E556" s="39">
        <v>2006</v>
      </c>
      <c r="F556" s="39" t="s">
        <v>342</v>
      </c>
      <c r="G556" s="39" t="s">
        <v>508</v>
      </c>
      <c r="H556" s="39">
        <f t="shared" si="183"/>
        <v>43.333333333333336</v>
      </c>
      <c r="I556" s="39">
        <f t="shared" si="184"/>
        <v>-89.716666666666669</v>
      </c>
      <c r="J556" s="39">
        <v>250</v>
      </c>
      <c r="P556" s="58">
        <v>4</v>
      </c>
      <c r="Q556" s="58"/>
      <c r="R556" s="58"/>
      <c r="S556" s="58" t="s">
        <v>1565</v>
      </c>
      <c r="T556" s="58" t="s">
        <v>1570</v>
      </c>
      <c r="U556" s="58" t="s">
        <v>1565</v>
      </c>
      <c r="V556" s="58" t="s">
        <v>1910</v>
      </c>
      <c r="W556" s="39">
        <f t="shared" si="185"/>
        <v>1.417142857142857</v>
      </c>
      <c r="Z556" s="39" t="s">
        <v>531</v>
      </c>
      <c r="AA556" s="39">
        <f t="shared" si="186"/>
        <v>6.8714285714285719</v>
      </c>
      <c r="AD556" s="39" t="s">
        <v>1490</v>
      </c>
      <c r="AE556" s="39" t="s">
        <v>1695</v>
      </c>
      <c r="AF556" s="152" t="s">
        <v>666</v>
      </c>
      <c r="AG556" s="39" t="s">
        <v>509</v>
      </c>
      <c r="AH556" s="154" t="s">
        <v>1802</v>
      </c>
      <c r="AI556" s="39" t="s">
        <v>501</v>
      </c>
      <c r="AJ556" s="39" t="s">
        <v>501</v>
      </c>
      <c r="AK556" s="39" t="s">
        <v>212</v>
      </c>
      <c r="AO556" s="39" t="s">
        <v>517</v>
      </c>
      <c r="AP556" s="39" t="s">
        <v>517</v>
      </c>
      <c r="AR556" s="39" t="s">
        <v>510</v>
      </c>
      <c r="AS556" s="39">
        <v>4</v>
      </c>
      <c r="AT556" s="39">
        <v>4</v>
      </c>
      <c r="AU556" s="39" t="s">
        <v>169</v>
      </c>
      <c r="AY556" s="63"/>
      <c r="BG556" s="39">
        <v>1.57</v>
      </c>
      <c r="BH556" s="39">
        <v>1.54</v>
      </c>
      <c r="BJ556" s="39">
        <v>2.58</v>
      </c>
      <c r="BK556" s="39">
        <v>2.63</v>
      </c>
      <c r="BL556" s="39" t="s">
        <v>1854</v>
      </c>
      <c r="BP556" s="39">
        <v>23.8</v>
      </c>
      <c r="BQ556" s="39">
        <v>13.8</v>
      </c>
      <c r="BS556" s="39">
        <v>130</v>
      </c>
      <c r="BT556" s="39">
        <v>73</v>
      </c>
      <c r="BV556" s="39">
        <v>6.7</v>
      </c>
      <c r="BW556" s="39">
        <v>6.8</v>
      </c>
      <c r="CH556" s="39">
        <v>166</v>
      </c>
      <c r="CI556" s="39">
        <v>276</v>
      </c>
      <c r="CJ556" s="39" t="s">
        <v>513</v>
      </c>
      <c r="CN556" s="39">
        <v>1.49</v>
      </c>
      <c r="CO556" s="39">
        <v>1.54</v>
      </c>
      <c r="CP556" s="39" t="s">
        <v>987</v>
      </c>
      <c r="DI556" s="39">
        <v>0.23400000000000001</v>
      </c>
      <c r="DJ556" s="39">
        <v>0.23300000000000001</v>
      </c>
      <c r="EJ556" s="12"/>
      <c r="EL556" s="15"/>
      <c r="EM556" s="39">
        <v>797</v>
      </c>
      <c r="EN556" s="39">
        <v>944</v>
      </c>
      <c r="EO556" s="39" t="s">
        <v>512</v>
      </c>
      <c r="FO556" s="39">
        <v>99999</v>
      </c>
      <c r="FR556" s="39" t="s">
        <v>515</v>
      </c>
      <c r="FS556" s="39" t="s">
        <v>986</v>
      </c>
      <c r="FT556" s="39">
        <v>29</v>
      </c>
    </row>
    <row r="557" spans="1:176" s="39" customFormat="1" x14ac:dyDescent="0.25">
      <c r="A557" s="39">
        <v>29</v>
      </c>
      <c r="B557" s="39" t="s">
        <v>1171</v>
      </c>
      <c r="C557" s="39" t="s">
        <v>507</v>
      </c>
      <c r="D557" s="39">
        <v>2009</v>
      </c>
      <c r="E557" s="39">
        <v>2006</v>
      </c>
      <c r="F557" s="39" t="s">
        <v>342</v>
      </c>
      <c r="G557" s="39" t="s">
        <v>508</v>
      </c>
      <c r="H557" s="39">
        <f t="shared" si="183"/>
        <v>43.333333333333336</v>
      </c>
      <c r="I557" s="39">
        <f t="shared" si="184"/>
        <v>-89.716666666666669</v>
      </c>
      <c r="J557" s="39">
        <v>250</v>
      </c>
      <c r="P557" s="58">
        <v>4</v>
      </c>
      <c r="Q557" s="58"/>
      <c r="R557" s="58"/>
      <c r="S557" s="58" t="s">
        <v>1565</v>
      </c>
      <c r="T557" s="58" t="s">
        <v>1570</v>
      </c>
      <c r="U557" s="58" t="s">
        <v>1565</v>
      </c>
      <c r="V557" s="58" t="s">
        <v>1910</v>
      </c>
      <c r="W557" s="39">
        <f t="shared" si="185"/>
        <v>1.417142857142857</v>
      </c>
      <c r="Z557" s="39" t="s">
        <v>531</v>
      </c>
      <c r="AA557" s="39">
        <f t="shared" si="186"/>
        <v>6.8714285714285719</v>
      </c>
      <c r="AD557" s="39" t="s">
        <v>1490</v>
      </c>
      <c r="AE557" s="39" t="s">
        <v>1695</v>
      </c>
      <c r="AF557" s="152" t="s">
        <v>666</v>
      </c>
      <c r="AG557" s="39" t="s">
        <v>160</v>
      </c>
      <c r="AH557" s="154" t="s">
        <v>1802</v>
      </c>
      <c r="AI557" s="39" t="s">
        <v>501</v>
      </c>
      <c r="AJ557" s="39" t="s">
        <v>501</v>
      </c>
      <c r="AK557" s="39" t="s">
        <v>212</v>
      </c>
      <c r="AO557" s="39" t="s">
        <v>517</v>
      </c>
      <c r="AP557" s="39" t="s">
        <v>517</v>
      </c>
      <c r="AR557" s="39" t="s">
        <v>510</v>
      </c>
      <c r="AS557" s="39">
        <v>4</v>
      </c>
      <c r="AT557" s="39">
        <v>4</v>
      </c>
      <c r="AU557" s="39" t="s">
        <v>169</v>
      </c>
      <c r="AY557" s="63"/>
      <c r="BG557" s="39">
        <v>1.57</v>
      </c>
      <c r="BH557" s="39">
        <v>1.55</v>
      </c>
      <c r="BJ557" s="39">
        <v>2.58</v>
      </c>
      <c r="BK557" s="39">
        <v>2.83</v>
      </c>
      <c r="BL557" s="39" t="s">
        <v>1854</v>
      </c>
      <c r="BP557" s="39">
        <v>23.8</v>
      </c>
      <c r="BQ557" s="39">
        <v>16.8</v>
      </c>
      <c r="BS557" s="39">
        <v>130</v>
      </c>
      <c r="BT557" s="39">
        <v>71</v>
      </c>
      <c r="BV557" s="39">
        <v>6.7</v>
      </c>
      <c r="BW557" s="39">
        <v>7.1</v>
      </c>
      <c r="CH557" s="39">
        <v>166</v>
      </c>
      <c r="CI557" s="39">
        <v>272</v>
      </c>
      <c r="CJ557" s="39" t="s">
        <v>513</v>
      </c>
      <c r="CN557" s="39">
        <v>1.49</v>
      </c>
      <c r="CO557" s="39">
        <v>1.3345</v>
      </c>
      <c r="CP557" s="39" t="s">
        <v>987</v>
      </c>
      <c r="DI557" s="39">
        <v>0.23400000000000001</v>
      </c>
      <c r="DJ557" s="39">
        <v>0.23</v>
      </c>
      <c r="EJ557" s="12"/>
      <c r="EL557" s="15"/>
      <c r="EM557" s="39">
        <v>797</v>
      </c>
      <c r="EN557" s="39">
        <v>984</v>
      </c>
      <c r="EO557" s="39" t="s">
        <v>512</v>
      </c>
      <c r="FO557" s="39">
        <v>99999</v>
      </c>
      <c r="FR557" s="39" t="s">
        <v>515</v>
      </c>
      <c r="FS557" s="39" t="s">
        <v>986</v>
      </c>
      <c r="FT557" s="39">
        <v>29</v>
      </c>
    </row>
    <row r="558" spans="1:176" s="39" customFormat="1" x14ac:dyDescent="0.25">
      <c r="A558" s="39">
        <v>29</v>
      </c>
      <c r="B558" s="39" t="s">
        <v>1171</v>
      </c>
      <c r="C558" s="39" t="s">
        <v>507</v>
      </c>
      <c r="D558" s="39">
        <v>2009</v>
      </c>
      <c r="E558" s="39">
        <v>2006</v>
      </c>
      <c r="F558" s="39" t="s">
        <v>342</v>
      </c>
      <c r="G558" s="39" t="s">
        <v>508</v>
      </c>
      <c r="H558" s="39">
        <f t="shared" si="183"/>
        <v>43.333333333333336</v>
      </c>
      <c r="I558" s="39">
        <f t="shared" si="184"/>
        <v>-89.716666666666669</v>
      </c>
      <c r="J558" s="39">
        <v>250</v>
      </c>
      <c r="P558" s="58">
        <v>4</v>
      </c>
      <c r="Q558" s="58"/>
      <c r="R558" s="58"/>
      <c r="S558" s="58" t="s">
        <v>1565</v>
      </c>
      <c r="T558" s="58" t="s">
        <v>1570</v>
      </c>
      <c r="U558" s="58" t="s">
        <v>1565</v>
      </c>
      <c r="V558" s="58" t="s">
        <v>1910</v>
      </c>
      <c r="W558" s="39">
        <f t="shared" si="185"/>
        <v>1.417142857142857</v>
      </c>
      <c r="Z558" s="39" t="s">
        <v>531</v>
      </c>
      <c r="AA558" s="39">
        <f t="shared" si="186"/>
        <v>6.8714285714285719</v>
      </c>
      <c r="AD558" s="39" t="s">
        <v>1490</v>
      </c>
      <c r="AE558" s="39" t="s">
        <v>1313</v>
      </c>
      <c r="AF558" s="152" t="s">
        <v>159</v>
      </c>
      <c r="AG558" s="39" t="s">
        <v>160</v>
      </c>
      <c r="AH558" s="154" t="s">
        <v>1802</v>
      </c>
      <c r="AI558" s="39" t="s">
        <v>501</v>
      </c>
      <c r="AJ558" s="39" t="s">
        <v>501</v>
      </c>
      <c r="AK558" s="39" t="s">
        <v>212</v>
      </c>
      <c r="AO558" s="39" t="s">
        <v>517</v>
      </c>
      <c r="AP558" s="39" t="s">
        <v>517</v>
      </c>
      <c r="AR558" s="39" t="s">
        <v>510</v>
      </c>
      <c r="AS558" s="39">
        <v>4</v>
      </c>
      <c r="AT558" s="39">
        <v>4</v>
      </c>
      <c r="AU558" s="39" t="s">
        <v>169</v>
      </c>
      <c r="AY558" s="63"/>
      <c r="BG558" s="39">
        <v>1.57</v>
      </c>
      <c r="BH558" s="39">
        <v>1.55</v>
      </c>
      <c r="BJ558" s="39">
        <v>2.58</v>
      </c>
      <c r="BK558" s="39">
        <v>2.38</v>
      </c>
      <c r="BL558" s="39" t="s">
        <v>1854</v>
      </c>
      <c r="BP558" s="39">
        <v>23.8</v>
      </c>
      <c r="BQ558" s="39">
        <v>14.8</v>
      </c>
      <c r="BS558" s="39">
        <v>130</v>
      </c>
      <c r="BT558" s="39">
        <v>87</v>
      </c>
      <c r="BV558" s="39">
        <v>6.7</v>
      </c>
      <c r="BW558" s="39">
        <v>6.8</v>
      </c>
      <c r="CH558" s="39">
        <v>166</v>
      </c>
      <c r="CI558" s="39">
        <v>249</v>
      </c>
      <c r="CJ558" s="39" t="s">
        <v>513</v>
      </c>
      <c r="CN558" s="39">
        <v>1.49</v>
      </c>
      <c r="CO558" s="39">
        <v>1.56</v>
      </c>
      <c r="CP558" s="39" t="s">
        <v>987</v>
      </c>
      <c r="DI558" s="39">
        <v>0.23400000000000001</v>
      </c>
      <c r="DJ558" s="39">
        <v>0.23</v>
      </c>
      <c r="EJ558" s="12"/>
      <c r="EL558" s="15"/>
      <c r="EM558" s="39">
        <v>797</v>
      </c>
      <c r="EN558" s="39">
        <v>949</v>
      </c>
      <c r="EO558" s="39" t="s">
        <v>512</v>
      </c>
      <c r="FO558" s="39">
        <v>99999</v>
      </c>
      <c r="FR558" s="39" t="s">
        <v>515</v>
      </c>
      <c r="FS558" s="39" t="s">
        <v>986</v>
      </c>
      <c r="FT558" s="39">
        <v>29</v>
      </c>
    </row>
    <row r="559" spans="1:176" s="39" customFormat="1" x14ac:dyDescent="0.25">
      <c r="A559" s="39">
        <v>29</v>
      </c>
      <c r="B559" s="39" t="s">
        <v>1171</v>
      </c>
      <c r="C559" s="39" t="s">
        <v>507</v>
      </c>
      <c r="D559" s="39">
        <v>2009</v>
      </c>
      <c r="E559" s="39">
        <v>2006</v>
      </c>
      <c r="F559" s="39" t="s">
        <v>342</v>
      </c>
      <c r="G559" s="39" t="s">
        <v>508</v>
      </c>
      <c r="H559" s="39">
        <f t="shared" si="183"/>
        <v>43.333333333333336</v>
      </c>
      <c r="I559" s="39">
        <f t="shared" si="184"/>
        <v>-89.716666666666669</v>
      </c>
      <c r="J559" s="39">
        <v>250</v>
      </c>
      <c r="P559" s="58">
        <v>4</v>
      </c>
      <c r="Q559" s="58"/>
      <c r="R559" s="58"/>
      <c r="S559" s="58" t="s">
        <v>1565</v>
      </c>
      <c r="T559" s="58" t="s">
        <v>1570</v>
      </c>
      <c r="U559" s="58" t="s">
        <v>1565</v>
      </c>
      <c r="V559" s="58" t="s">
        <v>1910</v>
      </c>
      <c r="W559" s="39">
        <f t="shared" si="185"/>
        <v>1.417142857142857</v>
      </c>
      <c r="Z559" s="39" t="s">
        <v>531</v>
      </c>
      <c r="AA559" s="39">
        <f t="shared" si="186"/>
        <v>6.8714285714285719</v>
      </c>
      <c r="AD559" s="39" t="s">
        <v>1490</v>
      </c>
      <c r="AE559" s="39" t="s">
        <v>1314</v>
      </c>
      <c r="AF559" s="152" t="s">
        <v>159</v>
      </c>
      <c r="AG559" s="39" t="s">
        <v>160</v>
      </c>
      <c r="AH559" s="154" t="s">
        <v>1802</v>
      </c>
      <c r="AI559" s="39" t="s">
        <v>501</v>
      </c>
      <c r="AJ559" s="39" t="s">
        <v>501</v>
      </c>
      <c r="AK559" s="39" t="s">
        <v>212</v>
      </c>
      <c r="AO559" s="39" t="s">
        <v>517</v>
      </c>
      <c r="AP559" s="39" t="s">
        <v>517</v>
      </c>
      <c r="AR559" s="39" t="s">
        <v>510</v>
      </c>
      <c r="AS559" s="39">
        <v>4</v>
      </c>
      <c r="AT559" s="39">
        <v>4</v>
      </c>
      <c r="AU559" s="39" t="s">
        <v>169</v>
      </c>
      <c r="AY559" s="63"/>
      <c r="BG559" s="39">
        <v>1.57</v>
      </c>
      <c r="BH559" s="39">
        <v>1.51</v>
      </c>
      <c r="BJ559" s="39">
        <v>2.58</v>
      </c>
      <c r="BK559" s="39">
        <v>2.38</v>
      </c>
      <c r="BL559" s="39" t="s">
        <v>1854</v>
      </c>
      <c r="BP559" s="39">
        <v>23.8</v>
      </c>
      <c r="BQ559" s="39">
        <v>12.8</v>
      </c>
      <c r="BS559" s="39">
        <v>130</v>
      </c>
      <c r="BT559" s="39">
        <v>92</v>
      </c>
      <c r="BV559" s="39">
        <v>6.7</v>
      </c>
      <c r="BW559" s="39">
        <v>7.2</v>
      </c>
      <c r="CH559" s="39">
        <v>166</v>
      </c>
      <c r="CI559" s="39">
        <v>238</v>
      </c>
      <c r="CJ559" s="39" t="s">
        <v>513</v>
      </c>
      <c r="CN559" s="39">
        <v>1.49</v>
      </c>
      <c r="CO559" s="39">
        <v>1.56</v>
      </c>
      <c r="CP559" s="39" t="s">
        <v>987</v>
      </c>
      <c r="DI559" s="39">
        <v>0.23400000000000001</v>
      </c>
      <c r="DJ559" s="39">
        <v>0.23400000000000001</v>
      </c>
      <c r="EJ559" s="12"/>
      <c r="EL559" s="15"/>
      <c r="EM559" s="39">
        <v>797</v>
      </c>
      <c r="EN559" s="39">
        <v>922</v>
      </c>
      <c r="EO559" s="39" t="s">
        <v>512</v>
      </c>
      <c r="FO559" s="39">
        <v>99999</v>
      </c>
      <c r="FR559" s="39" t="s">
        <v>515</v>
      </c>
      <c r="FS559" s="39" t="s">
        <v>986</v>
      </c>
      <c r="FT559" s="39">
        <v>29</v>
      </c>
    </row>
    <row r="560" spans="1:176" s="35" customFormat="1" x14ac:dyDescent="0.25">
      <c r="A560" s="35">
        <v>29</v>
      </c>
      <c r="B560" s="35" t="s">
        <v>1171</v>
      </c>
      <c r="C560" s="35" t="s">
        <v>507</v>
      </c>
      <c r="D560" s="35">
        <v>2009</v>
      </c>
      <c r="E560" s="35">
        <v>2006</v>
      </c>
      <c r="F560" s="35" t="s">
        <v>342</v>
      </c>
      <c r="G560" s="35" t="s">
        <v>508</v>
      </c>
      <c r="H560" s="35">
        <f t="shared" si="183"/>
        <v>43.333333333333336</v>
      </c>
      <c r="I560" s="35">
        <f t="shared" si="184"/>
        <v>-89.716666666666669</v>
      </c>
      <c r="J560" s="35">
        <v>250</v>
      </c>
      <c r="P560" s="54">
        <v>4</v>
      </c>
      <c r="Q560" s="54"/>
      <c r="R560" s="54"/>
      <c r="S560" s="54" t="s">
        <v>1565</v>
      </c>
      <c r="T560" s="54" t="s">
        <v>1570</v>
      </c>
      <c r="U560" s="54" t="s">
        <v>1565</v>
      </c>
      <c r="V560" s="54" t="s">
        <v>1910</v>
      </c>
      <c r="W560" s="35">
        <f t="shared" si="185"/>
        <v>1.417142857142857</v>
      </c>
      <c r="Z560" s="35" t="s">
        <v>531</v>
      </c>
      <c r="AA560" s="35">
        <f t="shared" si="186"/>
        <v>6.8714285714285719</v>
      </c>
      <c r="AD560" s="35" t="s">
        <v>1490</v>
      </c>
      <c r="AE560" s="35" t="s">
        <v>1715</v>
      </c>
      <c r="AF560" s="152" t="s">
        <v>666</v>
      </c>
      <c r="AG560" s="35" t="s">
        <v>509</v>
      </c>
      <c r="AH560" s="154" t="s">
        <v>1802</v>
      </c>
      <c r="AI560" s="35" t="s">
        <v>501</v>
      </c>
      <c r="AJ560" s="35" t="s">
        <v>501</v>
      </c>
      <c r="AK560" s="35" t="s">
        <v>212</v>
      </c>
      <c r="AO560" s="35" t="s">
        <v>517</v>
      </c>
      <c r="AP560" s="35" t="s">
        <v>517</v>
      </c>
      <c r="AR560" s="35" t="s">
        <v>511</v>
      </c>
      <c r="AS560" s="35">
        <v>4</v>
      </c>
      <c r="AT560" s="35">
        <v>4</v>
      </c>
      <c r="AU560" s="35" t="s">
        <v>169</v>
      </c>
      <c r="AY560" s="63"/>
      <c r="BG560" s="35">
        <v>1.57</v>
      </c>
      <c r="BH560" s="35">
        <v>1.55</v>
      </c>
      <c r="BJ560" s="35">
        <v>2.48</v>
      </c>
      <c r="BK560" s="35">
        <v>2.75</v>
      </c>
      <c r="BL560" s="35" t="s">
        <v>1854</v>
      </c>
      <c r="BP560" s="35">
        <v>13</v>
      </c>
      <c r="BQ560" s="35">
        <v>16.8</v>
      </c>
      <c r="BS560" s="35">
        <v>86</v>
      </c>
      <c r="BT560" s="35">
        <v>77</v>
      </c>
      <c r="BV560" s="35">
        <v>7</v>
      </c>
      <c r="BW560" s="35">
        <v>6.7</v>
      </c>
      <c r="CH560" s="35">
        <v>267</v>
      </c>
      <c r="CI560" s="35">
        <v>263</v>
      </c>
      <c r="CJ560" s="35" t="s">
        <v>513</v>
      </c>
      <c r="CN560" s="35">
        <v>1.54</v>
      </c>
      <c r="CO560" s="35">
        <v>1.3345</v>
      </c>
      <c r="CP560" s="35" t="s">
        <v>987</v>
      </c>
      <c r="DI560" s="35">
        <v>0.23400000000000001</v>
      </c>
      <c r="DJ560" s="35">
        <v>0.23200000000000001</v>
      </c>
      <c r="EJ560" s="12"/>
      <c r="EL560" s="15"/>
      <c r="EM560" s="35">
        <v>878</v>
      </c>
      <c r="EN560" s="35">
        <v>977</v>
      </c>
      <c r="EO560" s="35" t="s">
        <v>512</v>
      </c>
      <c r="FO560" s="39">
        <v>99999</v>
      </c>
      <c r="FR560" s="35" t="s">
        <v>515</v>
      </c>
      <c r="FS560" s="35" t="s">
        <v>986</v>
      </c>
      <c r="FT560" s="35">
        <v>29</v>
      </c>
    </row>
    <row r="561" spans="1:176" s="35" customFormat="1" x14ac:dyDescent="0.25">
      <c r="A561" s="35">
        <v>29</v>
      </c>
      <c r="B561" s="35" t="s">
        <v>1171</v>
      </c>
      <c r="C561" s="35" t="s">
        <v>507</v>
      </c>
      <c r="D561" s="35">
        <v>2009</v>
      </c>
      <c r="E561" s="35">
        <v>2006</v>
      </c>
      <c r="F561" s="35" t="s">
        <v>342</v>
      </c>
      <c r="G561" s="35" t="s">
        <v>508</v>
      </c>
      <c r="H561" s="35">
        <f t="shared" si="183"/>
        <v>43.333333333333336</v>
      </c>
      <c r="I561" s="35">
        <f t="shared" si="184"/>
        <v>-89.716666666666669</v>
      </c>
      <c r="J561" s="35">
        <v>250</v>
      </c>
      <c r="P561" s="54">
        <v>4</v>
      </c>
      <c r="Q561" s="54"/>
      <c r="R561" s="54"/>
      <c r="S561" s="54" t="s">
        <v>1565</v>
      </c>
      <c r="T561" s="54" t="s">
        <v>1570</v>
      </c>
      <c r="U561" s="54" t="s">
        <v>1565</v>
      </c>
      <c r="V561" s="54" t="s">
        <v>1910</v>
      </c>
      <c r="W561" s="35">
        <f t="shared" si="185"/>
        <v>1.417142857142857</v>
      </c>
      <c r="Z561" s="35" t="s">
        <v>531</v>
      </c>
      <c r="AA561" s="35">
        <f t="shared" si="186"/>
        <v>6.8714285714285719</v>
      </c>
      <c r="AD561" s="35" t="s">
        <v>1490</v>
      </c>
      <c r="AE561" s="35" t="s">
        <v>1715</v>
      </c>
      <c r="AF561" s="152" t="s">
        <v>666</v>
      </c>
      <c r="AG561" s="35" t="s">
        <v>160</v>
      </c>
      <c r="AH561" s="154" t="s">
        <v>1802</v>
      </c>
      <c r="AI561" s="35" t="s">
        <v>501</v>
      </c>
      <c r="AJ561" s="35" t="s">
        <v>501</v>
      </c>
      <c r="AK561" s="35" t="s">
        <v>212</v>
      </c>
      <c r="AO561" s="35" t="s">
        <v>517</v>
      </c>
      <c r="AP561" s="35" t="s">
        <v>517</v>
      </c>
      <c r="AR561" s="35" t="s">
        <v>511</v>
      </c>
      <c r="AS561" s="35">
        <v>4</v>
      </c>
      <c r="AT561" s="35">
        <v>4</v>
      </c>
      <c r="AU561" s="35" t="s">
        <v>169</v>
      </c>
      <c r="AY561" s="63"/>
      <c r="BG561" s="35">
        <v>1.57</v>
      </c>
      <c r="BH561" s="35">
        <v>1.5</v>
      </c>
      <c r="BJ561" s="35">
        <v>2.48</v>
      </c>
      <c r="BK561" s="35">
        <v>2.9</v>
      </c>
      <c r="BL561" s="35" t="s">
        <v>1854</v>
      </c>
      <c r="BP561" s="35">
        <v>13</v>
      </c>
      <c r="BQ561" s="35">
        <v>15.3</v>
      </c>
      <c r="BS561" s="35">
        <v>86</v>
      </c>
      <c r="BT561" s="35">
        <v>77</v>
      </c>
      <c r="BV561" s="35">
        <v>7</v>
      </c>
      <c r="BW561" s="35">
        <v>7</v>
      </c>
      <c r="CH561" s="35">
        <v>267</v>
      </c>
      <c r="CI561" s="35">
        <v>286</v>
      </c>
      <c r="CJ561" s="35" t="s">
        <v>513</v>
      </c>
      <c r="CN561" s="35">
        <v>1.54</v>
      </c>
      <c r="CO561" s="35">
        <v>1.6107</v>
      </c>
      <c r="CP561" s="35" t="s">
        <v>987</v>
      </c>
      <c r="DI561" s="35">
        <v>0.23400000000000001</v>
      </c>
      <c r="DJ561" s="35">
        <v>0.23899999999999999</v>
      </c>
      <c r="EJ561" s="12"/>
      <c r="EL561" s="15"/>
      <c r="EM561" s="35">
        <v>878</v>
      </c>
      <c r="EN561" s="35">
        <v>962</v>
      </c>
      <c r="EO561" s="35" t="s">
        <v>512</v>
      </c>
      <c r="FO561" s="39">
        <v>99999</v>
      </c>
      <c r="FR561" s="35" t="s">
        <v>515</v>
      </c>
      <c r="FS561" s="35" t="s">
        <v>986</v>
      </c>
      <c r="FT561" s="35">
        <v>29</v>
      </c>
    </row>
    <row r="562" spans="1:176" s="35" customFormat="1" x14ac:dyDescent="0.25">
      <c r="A562" s="35">
        <v>29</v>
      </c>
      <c r="B562" s="35" t="s">
        <v>1171</v>
      </c>
      <c r="C562" s="35" t="s">
        <v>507</v>
      </c>
      <c r="D562" s="35">
        <v>2009</v>
      </c>
      <c r="E562" s="35">
        <v>2006</v>
      </c>
      <c r="F562" s="35" t="s">
        <v>342</v>
      </c>
      <c r="G562" s="35" t="s">
        <v>508</v>
      </c>
      <c r="H562" s="35">
        <f t="shared" si="183"/>
        <v>43.333333333333336</v>
      </c>
      <c r="I562" s="35">
        <f t="shared" si="184"/>
        <v>-89.716666666666669</v>
      </c>
      <c r="J562" s="35">
        <v>250</v>
      </c>
      <c r="P562" s="54">
        <v>4</v>
      </c>
      <c r="Q562" s="54"/>
      <c r="R562" s="54"/>
      <c r="S562" s="54" t="s">
        <v>1565</v>
      </c>
      <c r="T562" s="54" t="s">
        <v>1570</v>
      </c>
      <c r="U562" s="54" t="s">
        <v>1565</v>
      </c>
      <c r="V562" s="54" t="s">
        <v>1910</v>
      </c>
      <c r="W562" s="35">
        <f t="shared" si="185"/>
        <v>1.417142857142857</v>
      </c>
      <c r="Z562" s="35" t="s">
        <v>531</v>
      </c>
      <c r="AA562" s="35">
        <f t="shared" si="186"/>
        <v>6.8714285714285719</v>
      </c>
      <c r="AD562" s="35" t="s">
        <v>1490</v>
      </c>
      <c r="AE562" s="35" t="s">
        <v>1695</v>
      </c>
      <c r="AF562" s="152" t="s">
        <v>666</v>
      </c>
      <c r="AG562" s="35" t="s">
        <v>509</v>
      </c>
      <c r="AH562" s="154" t="s">
        <v>1802</v>
      </c>
      <c r="AI562" s="35" t="s">
        <v>501</v>
      </c>
      <c r="AJ562" s="35" t="s">
        <v>501</v>
      </c>
      <c r="AK562" s="35" t="s">
        <v>212</v>
      </c>
      <c r="AO562" s="35" t="s">
        <v>517</v>
      </c>
      <c r="AP562" s="35" t="s">
        <v>517</v>
      </c>
      <c r="AR562" s="35" t="s">
        <v>511</v>
      </c>
      <c r="AS562" s="35">
        <v>4</v>
      </c>
      <c r="AT562" s="35">
        <v>4</v>
      </c>
      <c r="AU562" s="35" t="s">
        <v>169</v>
      </c>
      <c r="AY562" s="63"/>
      <c r="BG562" s="35">
        <v>1.57</v>
      </c>
      <c r="BH562" s="35">
        <v>1.54</v>
      </c>
      <c r="BJ562" s="35">
        <v>2.48</v>
      </c>
      <c r="BK562" s="35">
        <v>2.63</v>
      </c>
      <c r="BL562" s="35" t="s">
        <v>1854</v>
      </c>
      <c r="BP562" s="35">
        <v>13</v>
      </c>
      <c r="BQ562" s="35">
        <v>13.8</v>
      </c>
      <c r="BS562" s="35">
        <v>86</v>
      </c>
      <c r="BT562" s="35">
        <v>73</v>
      </c>
      <c r="BV562" s="35">
        <v>7</v>
      </c>
      <c r="BW562" s="35">
        <v>6.8</v>
      </c>
      <c r="CH562" s="35">
        <v>267</v>
      </c>
      <c r="CI562" s="35">
        <v>276</v>
      </c>
      <c r="CJ562" s="35" t="s">
        <v>513</v>
      </c>
      <c r="CN562" s="35">
        <v>1.54</v>
      </c>
      <c r="CO562" s="35">
        <v>1.54</v>
      </c>
      <c r="CP562" s="35" t="s">
        <v>987</v>
      </c>
      <c r="DI562" s="35">
        <v>0.23400000000000001</v>
      </c>
      <c r="DJ562" s="35">
        <v>0.23300000000000001</v>
      </c>
      <c r="EJ562" s="12"/>
      <c r="EL562" s="15"/>
      <c r="EM562" s="35">
        <v>878</v>
      </c>
      <c r="EN562" s="35">
        <v>944</v>
      </c>
      <c r="EO562" s="35" t="s">
        <v>512</v>
      </c>
      <c r="FO562" s="39">
        <v>99999</v>
      </c>
      <c r="FR562" s="35" t="s">
        <v>515</v>
      </c>
      <c r="FS562" s="35" t="s">
        <v>986</v>
      </c>
      <c r="FT562" s="35">
        <v>29</v>
      </c>
    </row>
    <row r="563" spans="1:176" s="35" customFormat="1" x14ac:dyDescent="0.25">
      <c r="A563" s="35">
        <v>29</v>
      </c>
      <c r="B563" s="35" t="s">
        <v>1171</v>
      </c>
      <c r="C563" s="35" t="s">
        <v>507</v>
      </c>
      <c r="D563" s="35">
        <v>2009</v>
      </c>
      <c r="E563" s="35">
        <v>2006</v>
      </c>
      <c r="F563" s="35" t="s">
        <v>342</v>
      </c>
      <c r="G563" s="35" t="s">
        <v>508</v>
      </c>
      <c r="H563" s="35">
        <f t="shared" si="183"/>
        <v>43.333333333333336</v>
      </c>
      <c r="I563" s="35">
        <f t="shared" si="184"/>
        <v>-89.716666666666669</v>
      </c>
      <c r="J563" s="35">
        <v>250</v>
      </c>
      <c r="P563" s="54">
        <v>4</v>
      </c>
      <c r="Q563" s="54"/>
      <c r="R563" s="54"/>
      <c r="S563" s="54" t="s">
        <v>1565</v>
      </c>
      <c r="T563" s="54" t="s">
        <v>1570</v>
      </c>
      <c r="U563" s="54" t="s">
        <v>1565</v>
      </c>
      <c r="V563" s="54" t="s">
        <v>1910</v>
      </c>
      <c r="W563" s="35">
        <f t="shared" si="185"/>
        <v>1.417142857142857</v>
      </c>
      <c r="Z563" s="35" t="s">
        <v>531</v>
      </c>
      <c r="AA563" s="35">
        <f t="shared" si="186"/>
        <v>6.8714285714285719</v>
      </c>
      <c r="AD563" s="35" t="s">
        <v>1490</v>
      </c>
      <c r="AE563" s="35" t="s">
        <v>1695</v>
      </c>
      <c r="AF563" s="152" t="s">
        <v>666</v>
      </c>
      <c r="AG563" s="35" t="s">
        <v>160</v>
      </c>
      <c r="AH563" s="154" t="s">
        <v>1802</v>
      </c>
      <c r="AI563" s="35" t="s">
        <v>501</v>
      </c>
      <c r="AJ563" s="35" t="s">
        <v>501</v>
      </c>
      <c r="AK563" s="35" t="s">
        <v>212</v>
      </c>
      <c r="AO563" s="35" t="s">
        <v>517</v>
      </c>
      <c r="AP563" s="35" t="s">
        <v>517</v>
      </c>
      <c r="AR563" s="35" t="s">
        <v>511</v>
      </c>
      <c r="AS563" s="35">
        <v>4</v>
      </c>
      <c r="AT563" s="35">
        <v>4</v>
      </c>
      <c r="AU563" s="35" t="s">
        <v>169</v>
      </c>
      <c r="AY563" s="63"/>
      <c r="BG563" s="35">
        <v>1.57</v>
      </c>
      <c r="BH563" s="35">
        <v>1.55</v>
      </c>
      <c r="BJ563" s="35">
        <v>2.48</v>
      </c>
      <c r="BK563" s="35">
        <v>2.83</v>
      </c>
      <c r="BL563" s="35" t="s">
        <v>1854</v>
      </c>
      <c r="BP563" s="35">
        <v>13</v>
      </c>
      <c r="BQ563" s="35">
        <v>16.8</v>
      </c>
      <c r="BS563" s="35">
        <v>86</v>
      </c>
      <c r="BT563" s="35">
        <v>71</v>
      </c>
      <c r="BV563" s="35">
        <v>7</v>
      </c>
      <c r="BW563" s="35">
        <v>7.1</v>
      </c>
      <c r="CH563" s="35">
        <v>267</v>
      </c>
      <c r="CI563" s="35">
        <v>272</v>
      </c>
      <c r="CJ563" s="35" t="s">
        <v>513</v>
      </c>
      <c r="CN563" s="35">
        <v>1.54</v>
      </c>
      <c r="CO563" s="35">
        <v>1.3345</v>
      </c>
      <c r="CP563" s="35" t="s">
        <v>987</v>
      </c>
      <c r="DI563" s="35">
        <v>0.23400000000000001</v>
      </c>
      <c r="DJ563" s="35">
        <v>0.23</v>
      </c>
      <c r="EJ563" s="12"/>
      <c r="EL563" s="15"/>
      <c r="EM563" s="35">
        <v>878</v>
      </c>
      <c r="EN563" s="35">
        <v>984</v>
      </c>
      <c r="EO563" s="35" t="s">
        <v>512</v>
      </c>
      <c r="FO563" s="39">
        <v>99999</v>
      </c>
      <c r="FR563" s="35" t="s">
        <v>515</v>
      </c>
      <c r="FS563" s="35" t="s">
        <v>986</v>
      </c>
      <c r="FT563" s="35">
        <v>29</v>
      </c>
    </row>
    <row r="564" spans="1:176" s="35" customFormat="1" x14ac:dyDescent="0.25">
      <c r="A564" s="35">
        <v>29</v>
      </c>
      <c r="B564" s="35" t="s">
        <v>1171</v>
      </c>
      <c r="C564" s="35" t="s">
        <v>507</v>
      </c>
      <c r="D564" s="35">
        <v>2009</v>
      </c>
      <c r="E564" s="35">
        <v>2006</v>
      </c>
      <c r="F564" s="35" t="s">
        <v>342</v>
      </c>
      <c r="G564" s="35" t="s">
        <v>508</v>
      </c>
      <c r="H564" s="35">
        <f t="shared" si="183"/>
        <v>43.333333333333336</v>
      </c>
      <c r="I564" s="35">
        <f t="shared" si="184"/>
        <v>-89.716666666666669</v>
      </c>
      <c r="J564" s="35">
        <v>250</v>
      </c>
      <c r="P564" s="54">
        <v>4</v>
      </c>
      <c r="Q564" s="54"/>
      <c r="R564" s="54"/>
      <c r="S564" s="54" t="s">
        <v>1565</v>
      </c>
      <c r="T564" s="54" t="s">
        <v>1570</v>
      </c>
      <c r="U564" s="54" t="s">
        <v>1565</v>
      </c>
      <c r="V564" s="54" t="s">
        <v>1910</v>
      </c>
      <c r="W564" s="35">
        <f t="shared" si="185"/>
        <v>1.417142857142857</v>
      </c>
      <c r="Z564" s="35" t="s">
        <v>531</v>
      </c>
      <c r="AA564" s="35">
        <f t="shared" si="186"/>
        <v>6.8714285714285719</v>
      </c>
      <c r="AD564" s="35" t="s">
        <v>1490</v>
      </c>
      <c r="AE564" s="35" t="s">
        <v>1313</v>
      </c>
      <c r="AF564" s="152" t="s">
        <v>159</v>
      </c>
      <c r="AG564" s="35" t="s">
        <v>160</v>
      </c>
      <c r="AH564" s="154" t="s">
        <v>1802</v>
      </c>
      <c r="AI564" s="35" t="s">
        <v>501</v>
      </c>
      <c r="AJ564" s="35" t="s">
        <v>501</v>
      </c>
      <c r="AK564" s="35" t="s">
        <v>212</v>
      </c>
      <c r="AO564" s="35" t="s">
        <v>517</v>
      </c>
      <c r="AP564" s="35" t="s">
        <v>517</v>
      </c>
      <c r="AR564" s="35" t="s">
        <v>511</v>
      </c>
      <c r="AS564" s="35">
        <v>4</v>
      </c>
      <c r="AT564" s="35">
        <v>4</v>
      </c>
      <c r="AU564" s="35" t="s">
        <v>169</v>
      </c>
      <c r="AY564" s="63"/>
      <c r="BG564" s="35">
        <v>1.57</v>
      </c>
      <c r="BH564" s="35">
        <v>1.55</v>
      </c>
      <c r="BJ564" s="35">
        <v>2.48</v>
      </c>
      <c r="BK564" s="35">
        <v>2.38</v>
      </c>
      <c r="BL564" s="35" t="s">
        <v>1854</v>
      </c>
      <c r="BP564" s="35">
        <v>13</v>
      </c>
      <c r="BQ564" s="35">
        <v>14.8</v>
      </c>
      <c r="BS564" s="35">
        <v>86</v>
      </c>
      <c r="BT564" s="35">
        <v>87</v>
      </c>
      <c r="BV564" s="35">
        <v>7</v>
      </c>
      <c r="BW564" s="35">
        <v>6.8</v>
      </c>
      <c r="CH564" s="35">
        <v>267</v>
      </c>
      <c r="CI564" s="35">
        <v>249</v>
      </c>
      <c r="CJ564" s="35" t="s">
        <v>513</v>
      </c>
      <c r="CN564" s="35">
        <v>1.54</v>
      </c>
      <c r="CO564" s="35">
        <v>1.56</v>
      </c>
      <c r="CP564" s="35" t="s">
        <v>987</v>
      </c>
      <c r="DI564" s="35">
        <v>0.23400000000000001</v>
      </c>
      <c r="DJ564" s="35">
        <v>0.23</v>
      </c>
      <c r="EJ564" s="12"/>
      <c r="EL564" s="15"/>
      <c r="EM564" s="35">
        <v>878</v>
      </c>
      <c r="EN564" s="35">
        <v>949</v>
      </c>
      <c r="EO564" s="35" t="s">
        <v>512</v>
      </c>
      <c r="FO564" s="39">
        <v>99999</v>
      </c>
      <c r="FR564" s="35" t="s">
        <v>515</v>
      </c>
      <c r="FS564" s="35" t="s">
        <v>986</v>
      </c>
      <c r="FT564" s="35">
        <v>29</v>
      </c>
    </row>
    <row r="565" spans="1:176" s="35" customFormat="1" x14ac:dyDescent="0.25">
      <c r="A565" s="35">
        <v>29</v>
      </c>
      <c r="B565" s="35" t="s">
        <v>1171</v>
      </c>
      <c r="C565" s="35" t="s">
        <v>507</v>
      </c>
      <c r="D565" s="35">
        <v>2009</v>
      </c>
      <c r="E565" s="35">
        <v>2006</v>
      </c>
      <c r="F565" s="35" t="s">
        <v>342</v>
      </c>
      <c r="G565" s="35" t="s">
        <v>508</v>
      </c>
      <c r="H565" s="35">
        <f t="shared" si="183"/>
        <v>43.333333333333336</v>
      </c>
      <c r="I565" s="35">
        <f t="shared" si="184"/>
        <v>-89.716666666666669</v>
      </c>
      <c r="J565" s="35">
        <v>250</v>
      </c>
      <c r="P565" s="54">
        <v>4</v>
      </c>
      <c r="Q565" s="54"/>
      <c r="R565" s="54"/>
      <c r="S565" s="54" t="s">
        <v>1565</v>
      </c>
      <c r="T565" s="54" t="s">
        <v>1570</v>
      </c>
      <c r="U565" s="54" t="s">
        <v>1565</v>
      </c>
      <c r="V565" s="54" t="s">
        <v>1910</v>
      </c>
      <c r="W565" s="35">
        <f t="shared" si="185"/>
        <v>1.417142857142857</v>
      </c>
      <c r="Z565" s="35" t="s">
        <v>531</v>
      </c>
      <c r="AA565" s="35">
        <f t="shared" si="186"/>
        <v>6.8714285714285719</v>
      </c>
      <c r="AD565" s="35" t="s">
        <v>1490</v>
      </c>
      <c r="AE565" s="35" t="s">
        <v>1314</v>
      </c>
      <c r="AF565" s="152" t="s">
        <v>159</v>
      </c>
      <c r="AG565" s="35" t="s">
        <v>160</v>
      </c>
      <c r="AH565" s="154" t="s">
        <v>1802</v>
      </c>
      <c r="AI565" s="35" t="s">
        <v>501</v>
      </c>
      <c r="AJ565" s="35" t="s">
        <v>501</v>
      </c>
      <c r="AK565" s="35" t="s">
        <v>212</v>
      </c>
      <c r="AO565" s="35" t="s">
        <v>517</v>
      </c>
      <c r="AP565" s="35" t="s">
        <v>517</v>
      </c>
      <c r="AR565" s="35" t="s">
        <v>511</v>
      </c>
      <c r="AS565" s="35">
        <v>4</v>
      </c>
      <c r="AT565" s="35">
        <v>4</v>
      </c>
      <c r="AU565" s="35" t="s">
        <v>169</v>
      </c>
      <c r="AY565" s="63"/>
      <c r="BG565" s="35">
        <v>1.57</v>
      </c>
      <c r="BH565" s="35">
        <v>1.51</v>
      </c>
      <c r="BJ565" s="35">
        <v>2.48</v>
      </c>
      <c r="BK565" s="35">
        <v>2.38</v>
      </c>
      <c r="BL565" s="35" t="s">
        <v>1854</v>
      </c>
      <c r="BP565" s="35">
        <v>13</v>
      </c>
      <c r="BQ565" s="35">
        <v>12.8</v>
      </c>
      <c r="BS565" s="35">
        <v>86</v>
      </c>
      <c r="BT565" s="35">
        <v>92</v>
      </c>
      <c r="BV565" s="35">
        <v>7</v>
      </c>
      <c r="BW565" s="35">
        <v>7.2</v>
      </c>
      <c r="CH565" s="35">
        <v>267</v>
      </c>
      <c r="CI565" s="35">
        <v>238</v>
      </c>
      <c r="CJ565" s="35" t="s">
        <v>513</v>
      </c>
      <c r="CN565" s="35">
        <v>1.54</v>
      </c>
      <c r="CO565" s="35">
        <v>1.56</v>
      </c>
      <c r="CP565" s="35" t="s">
        <v>987</v>
      </c>
      <c r="DI565" s="35">
        <v>0.23400000000000001</v>
      </c>
      <c r="DJ565" s="35">
        <v>0.23400000000000001</v>
      </c>
      <c r="EJ565" s="12"/>
      <c r="EL565" s="15"/>
      <c r="EM565" s="35">
        <v>878</v>
      </c>
      <c r="EN565" s="35">
        <v>922</v>
      </c>
      <c r="EO565" s="35" t="s">
        <v>512</v>
      </c>
      <c r="FO565" s="39">
        <v>99999</v>
      </c>
      <c r="FR565" s="35" t="s">
        <v>515</v>
      </c>
      <c r="FS565" s="35" t="s">
        <v>986</v>
      </c>
      <c r="FT565" s="35">
        <v>29</v>
      </c>
    </row>
    <row r="566" spans="1:176" s="38" customFormat="1" x14ac:dyDescent="0.25">
      <c r="A566" s="38">
        <v>30</v>
      </c>
      <c r="B566" s="38" t="s">
        <v>518</v>
      </c>
      <c r="C566" s="38" t="s">
        <v>519</v>
      </c>
      <c r="D566" s="38">
        <v>2002</v>
      </c>
      <c r="E566" s="38">
        <v>1998</v>
      </c>
      <c r="F566" s="38" t="s">
        <v>520</v>
      </c>
      <c r="G566" s="38" t="s">
        <v>521</v>
      </c>
      <c r="H566" s="38">
        <f t="shared" ref="H566:H597" si="191">38+32/60</f>
        <v>38.533333333333331</v>
      </c>
      <c r="I566" s="38">
        <f t="shared" ref="I566:I597" si="192">-121-47/60</f>
        <v>-121.78333333333333</v>
      </c>
      <c r="J566" s="38">
        <v>18.399999999999999</v>
      </c>
      <c r="N566" s="38">
        <v>483</v>
      </c>
      <c r="P566" s="57">
        <v>2</v>
      </c>
      <c r="Q566" s="57"/>
      <c r="R566" s="57">
        <v>36145</v>
      </c>
      <c r="S566" s="57" t="s">
        <v>1571</v>
      </c>
      <c r="T566" s="57" t="s">
        <v>1571</v>
      </c>
      <c r="U566" s="57" t="s">
        <v>1593</v>
      </c>
      <c r="V566" s="57" t="s">
        <v>1911</v>
      </c>
      <c r="X566" s="38">
        <v>36</v>
      </c>
      <c r="Y566" s="38">
        <v>46</v>
      </c>
      <c r="Z566" s="38" t="s">
        <v>167</v>
      </c>
      <c r="AD566" s="38" t="s">
        <v>1491</v>
      </c>
      <c r="AE566" s="38" t="s">
        <v>1713</v>
      </c>
      <c r="AF566" s="152" t="s">
        <v>666</v>
      </c>
      <c r="AG566" s="38" t="s">
        <v>1768</v>
      </c>
      <c r="AH566" s="155" t="s">
        <v>1793</v>
      </c>
      <c r="AI566" s="38" t="s">
        <v>522</v>
      </c>
      <c r="AJ566" s="38" t="s">
        <v>522</v>
      </c>
      <c r="AK566" s="38" t="s">
        <v>212</v>
      </c>
      <c r="AO566" s="38" t="s">
        <v>418</v>
      </c>
      <c r="AP566" s="38" t="s">
        <v>523</v>
      </c>
      <c r="AQ566" s="38" t="s">
        <v>587</v>
      </c>
      <c r="AR566" s="38" t="s">
        <v>147</v>
      </c>
      <c r="AS566" s="38">
        <v>4</v>
      </c>
      <c r="AT566" s="38">
        <v>4</v>
      </c>
      <c r="AU566" s="38" t="s">
        <v>379</v>
      </c>
      <c r="AY566" s="64"/>
      <c r="CT566" s="38">
        <v>4.8099999999999997E-2</v>
      </c>
      <c r="CU566" s="38">
        <v>9.6299999999999997E-2</v>
      </c>
      <c r="CV566" s="38" t="s">
        <v>527</v>
      </c>
      <c r="CZ566" s="38">
        <f>6.84/38*100</f>
        <v>18</v>
      </c>
      <c r="DA566" s="38">
        <f>1.29/38*100</f>
        <v>3.3947368421052637</v>
      </c>
      <c r="DB566" s="38" t="s">
        <v>526</v>
      </c>
      <c r="DI566" s="38">
        <v>0.21840000000000001</v>
      </c>
      <c r="DJ566" s="38">
        <v>0.2094</v>
      </c>
      <c r="DK566" s="38" t="s">
        <v>525</v>
      </c>
      <c r="EJ566" s="12"/>
      <c r="EL566" s="15"/>
      <c r="FR566" s="38" t="s">
        <v>809</v>
      </c>
      <c r="FT566" s="38">
        <v>30</v>
      </c>
    </row>
    <row r="567" spans="1:176" s="38" customFormat="1" x14ac:dyDescent="0.25">
      <c r="A567" s="38">
        <v>30</v>
      </c>
      <c r="B567" s="38" t="s">
        <v>518</v>
      </c>
      <c r="C567" s="38" t="s">
        <v>519</v>
      </c>
      <c r="D567" s="38">
        <v>2002</v>
      </c>
      <c r="E567" s="38">
        <v>1998</v>
      </c>
      <c r="F567" s="38" t="s">
        <v>520</v>
      </c>
      <c r="G567" s="38" t="s">
        <v>521</v>
      </c>
      <c r="H567" s="38">
        <f t="shared" si="191"/>
        <v>38.533333333333331</v>
      </c>
      <c r="I567" s="38">
        <f t="shared" si="192"/>
        <v>-121.78333333333333</v>
      </c>
      <c r="J567" s="38">
        <v>18.399999999999999</v>
      </c>
      <c r="N567" s="38">
        <v>483</v>
      </c>
      <c r="P567" s="57">
        <v>2</v>
      </c>
      <c r="Q567" s="57"/>
      <c r="R567" s="57">
        <v>36145</v>
      </c>
      <c r="S567" s="57" t="s">
        <v>1571</v>
      </c>
      <c r="T567" s="57" t="s">
        <v>1571</v>
      </c>
      <c r="U567" s="57" t="s">
        <v>1593</v>
      </c>
      <c r="V567" s="57" t="s">
        <v>1911</v>
      </c>
      <c r="X567" s="38">
        <v>36</v>
      </c>
      <c r="Y567" s="38">
        <v>46</v>
      </c>
      <c r="Z567" s="38" t="s">
        <v>167</v>
      </c>
      <c r="AD567" s="38" t="s">
        <v>1491</v>
      </c>
      <c r="AE567" s="38" t="s">
        <v>1713</v>
      </c>
      <c r="AF567" s="152" t="s">
        <v>666</v>
      </c>
      <c r="AG567" s="38" t="s">
        <v>1768</v>
      </c>
      <c r="AH567" s="155" t="s">
        <v>1793</v>
      </c>
      <c r="AI567" s="38" t="s">
        <v>522</v>
      </c>
      <c r="AJ567" s="38" t="s">
        <v>522</v>
      </c>
      <c r="AK567" s="38" t="s">
        <v>212</v>
      </c>
      <c r="AO567" s="38" t="s">
        <v>418</v>
      </c>
      <c r="AP567" s="38" t="s">
        <v>524</v>
      </c>
      <c r="AQ567" s="38" t="s">
        <v>587</v>
      </c>
      <c r="AR567" s="38" t="s">
        <v>147</v>
      </c>
      <c r="AS567" s="38">
        <v>4</v>
      </c>
      <c r="AT567" s="38">
        <v>4</v>
      </c>
      <c r="AU567" s="38" t="s">
        <v>379</v>
      </c>
      <c r="AY567" s="64"/>
      <c r="CT567" s="38">
        <v>4.8099999999999997E-2</v>
      </c>
      <c r="CU567" s="38">
        <v>0.1206</v>
      </c>
      <c r="CV567" s="38" t="s">
        <v>527</v>
      </c>
      <c r="CZ567" s="38">
        <f>6.84/38*100</f>
        <v>18</v>
      </c>
      <c r="DA567" s="38">
        <f>3.42/38*100</f>
        <v>9</v>
      </c>
      <c r="DB567" s="38" t="s">
        <v>526</v>
      </c>
      <c r="DI567" s="38">
        <v>0.21840000000000001</v>
      </c>
      <c r="DJ567" s="38">
        <v>0.1958</v>
      </c>
      <c r="DK567" s="38" t="s">
        <v>525</v>
      </c>
      <c r="EJ567" s="12"/>
      <c r="EL567" s="15"/>
      <c r="FR567" s="38" t="s">
        <v>809</v>
      </c>
      <c r="FT567" s="38">
        <v>30</v>
      </c>
    </row>
    <row r="568" spans="1:176" s="38" customFormat="1" x14ac:dyDescent="0.25">
      <c r="A568" s="38">
        <v>30</v>
      </c>
      <c r="B568" s="38" t="s">
        <v>518</v>
      </c>
      <c r="C568" s="38" t="s">
        <v>519</v>
      </c>
      <c r="D568" s="38">
        <v>2002</v>
      </c>
      <c r="E568" s="38">
        <v>1999</v>
      </c>
      <c r="F568" s="38" t="s">
        <v>520</v>
      </c>
      <c r="G568" s="38" t="s">
        <v>521</v>
      </c>
      <c r="H568" s="38">
        <f t="shared" si="191"/>
        <v>38.533333333333331</v>
      </c>
      <c r="I568" s="38">
        <f t="shared" si="192"/>
        <v>-121.78333333333333</v>
      </c>
      <c r="J568" s="38">
        <v>18.399999999999999</v>
      </c>
      <c r="N568" s="38">
        <v>483</v>
      </c>
      <c r="P568" s="57">
        <v>3</v>
      </c>
      <c r="Q568" s="57"/>
      <c r="R568" s="57">
        <v>36170</v>
      </c>
      <c r="S568" s="57" t="s">
        <v>1571</v>
      </c>
      <c r="T568" s="57" t="s">
        <v>1571</v>
      </c>
      <c r="U568" s="57" t="s">
        <v>1593</v>
      </c>
      <c r="V568" s="57" t="s">
        <v>1911</v>
      </c>
      <c r="X568" s="38">
        <v>36</v>
      </c>
      <c r="Y568" s="38">
        <v>46</v>
      </c>
      <c r="Z568" s="38" t="s">
        <v>167</v>
      </c>
      <c r="AD568" s="38" t="s">
        <v>1491</v>
      </c>
      <c r="AE568" s="38" t="s">
        <v>1713</v>
      </c>
      <c r="AF568" s="152" t="s">
        <v>666</v>
      </c>
      <c r="AG568" s="38" t="s">
        <v>1768</v>
      </c>
      <c r="AH568" s="155" t="s">
        <v>1793</v>
      </c>
      <c r="AI568" s="38" t="s">
        <v>522</v>
      </c>
      <c r="AJ568" s="38" t="s">
        <v>522</v>
      </c>
      <c r="AK568" s="38" t="s">
        <v>212</v>
      </c>
      <c r="AO568" s="38" t="s">
        <v>418</v>
      </c>
      <c r="AP568" s="38" t="s">
        <v>523</v>
      </c>
      <c r="AQ568" s="38" t="s">
        <v>587</v>
      </c>
      <c r="AR568" s="38" t="s">
        <v>147</v>
      </c>
      <c r="AS568" s="38">
        <v>4</v>
      </c>
      <c r="AT568" s="38">
        <v>4</v>
      </c>
      <c r="AU568" s="38" t="s">
        <v>379</v>
      </c>
      <c r="AY568" s="64"/>
      <c r="CT568" s="38">
        <v>2.4E-2</v>
      </c>
      <c r="CU568" s="38">
        <v>9.6000000000000002E-2</v>
      </c>
      <c r="CV568" s="38" t="s">
        <v>527</v>
      </c>
      <c r="CZ568" s="38">
        <f>5.95/14.2*100</f>
        <v>41.901408450704231</v>
      </c>
      <c r="DA568" s="38">
        <f>0.97/14.2*100</f>
        <v>6.830985915492958</v>
      </c>
      <c r="DB568" s="38" t="s">
        <v>526</v>
      </c>
      <c r="DI568" s="38">
        <v>0.1966</v>
      </c>
      <c r="DJ568" s="38">
        <v>0.20660000000000001</v>
      </c>
      <c r="DK568" s="38" t="s">
        <v>525</v>
      </c>
      <c r="EJ568" s="12"/>
      <c r="EL568" s="15"/>
      <c r="FR568" s="38" t="s">
        <v>809</v>
      </c>
      <c r="FT568" s="38">
        <v>30</v>
      </c>
    </row>
    <row r="569" spans="1:176" s="38" customFormat="1" x14ac:dyDescent="0.25">
      <c r="A569" s="38">
        <v>30</v>
      </c>
      <c r="B569" s="38" t="s">
        <v>518</v>
      </c>
      <c r="C569" s="38" t="s">
        <v>519</v>
      </c>
      <c r="D569" s="38">
        <v>2002</v>
      </c>
      <c r="E569" s="38">
        <v>1999</v>
      </c>
      <c r="F569" s="38" t="s">
        <v>520</v>
      </c>
      <c r="G569" s="38" t="s">
        <v>521</v>
      </c>
      <c r="H569" s="38">
        <f t="shared" si="191"/>
        <v>38.533333333333331</v>
      </c>
      <c r="I569" s="38">
        <f t="shared" si="192"/>
        <v>-121.78333333333333</v>
      </c>
      <c r="J569" s="38">
        <v>18.399999999999999</v>
      </c>
      <c r="N569" s="38">
        <v>483</v>
      </c>
      <c r="P569" s="57">
        <v>3</v>
      </c>
      <c r="Q569" s="57"/>
      <c r="R569" s="57">
        <v>36170</v>
      </c>
      <c r="S569" s="57" t="s">
        <v>1571</v>
      </c>
      <c r="T569" s="57" t="s">
        <v>1571</v>
      </c>
      <c r="U569" s="57" t="s">
        <v>1593</v>
      </c>
      <c r="V569" s="57" t="s">
        <v>1911</v>
      </c>
      <c r="X569" s="38">
        <v>36</v>
      </c>
      <c r="Y569" s="38">
        <v>46</v>
      </c>
      <c r="Z569" s="38" t="s">
        <v>167</v>
      </c>
      <c r="AD569" s="38" t="s">
        <v>1491</v>
      </c>
      <c r="AE569" s="38" t="s">
        <v>1713</v>
      </c>
      <c r="AF569" s="152" t="s">
        <v>666</v>
      </c>
      <c r="AG569" s="38" t="s">
        <v>1768</v>
      </c>
      <c r="AH569" s="155" t="s">
        <v>1793</v>
      </c>
      <c r="AI569" s="38" t="s">
        <v>522</v>
      </c>
      <c r="AJ569" s="38" t="s">
        <v>522</v>
      </c>
      <c r="AK569" s="38" t="s">
        <v>212</v>
      </c>
      <c r="AO569" s="38" t="s">
        <v>418</v>
      </c>
      <c r="AP569" s="38" t="s">
        <v>524</v>
      </c>
      <c r="AQ569" s="38" t="s">
        <v>587</v>
      </c>
      <c r="AR569" s="38" t="s">
        <v>147</v>
      </c>
      <c r="AS569" s="38">
        <v>4</v>
      </c>
      <c r="AT569" s="38">
        <v>4</v>
      </c>
      <c r="AU569" s="38" t="s">
        <v>379</v>
      </c>
      <c r="AY569" s="64"/>
      <c r="CT569" s="38">
        <v>2.4E-2</v>
      </c>
      <c r="CU569" s="38">
        <v>9.6000000000000002E-2</v>
      </c>
      <c r="CV569" s="38" t="s">
        <v>527</v>
      </c>
      <c r="CZ569" s="38">
        <f>5.95/14.2*100</f>
        <v>41.901408450704231</v>
      </c>
      <c r="DA569" s="38">
        <f>1.46/14.2*100</f>
        <v>10.28169014084507</v>
      </c>
      <c r="DB569" s="38" t="s">
        <v>526</v>
      </c>
      <c r="DI569" s="38">
        <v>0.1966</v>
      </c>
      <c r="DJ569" s="38">
        <v>0.1885</v>
      </c>
      <c r="DK569" s="38" t="s">
        <v>525</v>
      </c>
      <c r="EJ569" s="12"/>
      <c r="EL569" s="15"/>
      <c r="FR569" s="38" t="s">
        <v>809</v>
      </c>
      <c r="FT569" s="38">
        <v>30</v>
      </c>
    </row>
    <row r="570" spans="1:176" s="38" customFormat="1" x14ac:dyDescent="0.25">
      <c r="A570" s="38">
        <v>30</v>
      </c>
      <c r="B570" s="38" t="s">
        <v>518</v>
      </c>
      <c r="C570" s="38" t="s">
        <v>519</v>
      </c>
      <c r="D570" s="38">
        <v>2002</v>
      </c>
      <c r="E570" s="38">
        <v>1999</v>
      </c>
      <c r="F570" s="38" t="s">
        <v>520</v>
      </c>
      <c r="G570" s="38" t="s">
        <v>521</v>
      </c>
      <c r="H570" s="38">
        <f t="shared" si="191"/>
        <v>38.533333333333331</v>
      </c>
      <c r="I570" s="38">
        <f t="shared" si="192"/>
        <v>-121.78333333333333</v>
      </c>
      <c r="J570" s="38">
        <v>18.399999999999999</v>
      </c>
      <c r="N570" s="38">
        <v>483</v>
      </c>
      <c r="P570" s="57">
        <v>3</v>
      </c>
      <c r="Q570" s="57"/>
      <c r="R570" s="57">
        <v>36187</v>
      </c>
      <c r="S570" s="57" t="s">
        <v>1571</v>
      </c>
      <c r="T570" s="57" t="s">
        <v>1571</v>
      </c>
      <c r="U570" s="57" t="s">
        <v>1593</v>
      </c>
      <c r="V570" s="57" t="s">
        <v>1911</v>
      </c>
      <c r="X570" s="38">
        <v>36</v>
      </c>
      <c r="Y570" s="38">
        <v>46</v>
      </c>
      <c r="Z570" s="38" t="s">
        <v>167</v>
      </c>
      <c r="AD570" s="38" t="s">
        <v>1491</v>
      </c>
      <c r="AE570" s="38" t="s">
        <v>1713</v>
      </c>
      <c r="AF570" s="152" t="s">
        <v>666</v>
      </c>
      <c r="AG570" s="38" t="s">
        <v>1768</v>
      </c>
      <c r="AH570" s="155" t="s">
        <v>1793</v>
      </c>
      <c r="AI570" s="38" t="s">
        <v>522</v>
      </c>
      <c r="AJ570" s="38" t="s">
        <v>522</v>
      </c>
      <c r="AK570" s="38" t="s">
        <v>212</v>
      </c>
      <c r="AO570" s="38" t="s">
        <v>418</v>
      </c>
      <c r="AP570" s="38" t="s">
        <v>523</v>
      </c>
      <c r="AQ570" s="38" t="s">
        <v>587</v>
      </c>
      <c r="AR570" s="38" t="s">
        <v>147</v>
      </c>
      <c r="AS570" s="38">
        <v>4</v>
      </c>
      <c r="AT570" s="38">
        <v>4</v>
      </c>
      <c r="AU570" s="38" t="s">
        <v>379</v>
      </c>
      <c r="AY570" s="64"/>
      <c r="CT570" s="38">
        <v>1.24E-2</v>
      </c>
      <c r="CU570" s="38">
        <v>9.6500000000000002E-2</v>
      </c>
      <c r="CV570" s="38" t="s">
        <v>527</v>
      </c>
      <c r="CZ570" s="38">
        <v>0</v>
      </c>
      <c r="DA570" s="38">
        <f>0.16/2.9*100</f>
        <v>5.5172413793103452</v>
      </c>
      <c r="DB570" s="38" t="s">
        <v>526</v>
      </c>
      <c r="DI570" s="38">
        <v>0.22539999999999999</v>
      </c>
      <c r="DJ570" s="38">
        <v>0.2137</v>
      </c>
      <c r="DK570" s="38" t="s">
        <v>525</v>
      </c>
      <c r="EJ570" s="12"/>
      <c r="EL570" s="15"/>
      <c r="FR570" s="38" t="s">
        <v>809</v>
      </c>
      <c r="FT570" s="38">
        <v>30</v>
      </c>
    </row>
    <row r="571" spans="1:176" s="38" customFormat="1" x14ac:dyDescent="0.25">
      <c r="A571" s="38">
        <v>30</v>
      </c>
      <c r="B571" s="38" t="s">
        <v>518</v>
      </c>
      <c r="C571" s="38" t="s">
        <v>519</v>
      </c>
      <c r="D571" s="38">
        <v>2002</v>
      </c>
      <c r="E571" s="38">
        <v>1999</v>
      </c>
      <c r="F571" s="38" t="s">
        <v>520</v>
      </c>
      <c r="G571" s="38" t="s">
        <v>521</v>
      </c>
      <c r="H571" s="38">
        <f t="shared" si="191"/>
        <v>38.533333333333331</v>
      </c>
      <c r="I571" s="38">
        <f t="shared" si="192"/>
        <v>-121.78333333333333</v>
      </c>
      <c r="J571" s="38">
        <v>18.399999999999999</v>
      </c>
      <c r="N571" s="38">
        <v>483</v>
      </c>
      <c r="P571" s="57">
        <v>3</v>
      </c>
      <c r="Q571" s="57"/>
      <c r="R571" s="57">
        <v>36187</v>
      </c>
      <c r="S571" s="57" t="s">
        <v>1571</v>
      </c>
      <c r="T571" s="57" t="s">
        <v>1571</v>
      </c>
      <c r="U571" s="57" t="s">
        <v>1593</v>
      </c>
      <c r="V571" s="57" t="s">
        <v>1911</v>
      </c>
      <c r="X571" s="38">
        <v>36</v>
      </c>
      <c r="Y571" s="38">
        <v>46</v>
      </c>
      <c r="Z571" s="38" t="s">
        <v>167</v>
      </c>
      <c r="AD571" s="38" t="s">
        <v>1491</v>
      </c>
      <c r="AE571" s="38" t="s">
        <v>1713</v>
      </c>
      <c r="AF571" s="152" t="s">
        <v>666</v>
      </c>
      <c r="AG571" s="38" t="s">
        <v>1768</v>
      </c>
      <c r="AH571" s="155" t="s">
        <v>1793</v>
      </c>
      <c r="AI571" s="38" t="s">
        <v>522</v>
      </c>
      <c r="AJ571" s="38" t="s">
        <v>522</v>
      </c>
      <c r="AK571" s="38" t="s">
        <v>212</v>
      </c>
      <c r="AO571" s="38" t="s">
        <v>418</v>
      </c>
      <c r="AP571" s="38" t="s">
        <v>524</v>
      </c>
      <c r="AQ571" s="38" t="s">
        <v>587</v>
      </c>
      <c r="AR571" s="38" t="s">
        <v>147</v>
      </c>
      <c r="AS571" s="38">
        <v>4</v>
      </c>
      <c r="AT571" s="38">
        <v>4</v>
      </c>
      <c r="AU571" s="38" t="s">
        <v>379</v>
      </c>
      <c r="AY571" s="64"/>
      <c r="CT571" s="38">
        <v>1.24E-2</v>
      </c>
      <c r="CU571" s="38">
        <v>7.8600000000000003E-2</v>
      </c>
      <c r="CV571" s="38" t="s">
        <v>527</v>
      </c>
      <c r="CZ571" s="38">
        <v>0</v>
      </c>
      <c r="DA571" s="38">
        <f>0.02/2.9*100</f>
        <v>0.68965517241379315</v>
      </c>
      <c r="DB571" s="38" t="s">
        <v>526</v>
      </c>
      <c r="DI571" s="38">
        <v>0.22539999999999999</v>
      </c>
      <c r="DJ571" s="38">
        <v>0.19919999999999999</v>
      </c>
      <c r="DK571" s="38" t="s">
        <v>525</v>
      </c>
      <c r="EJ571" s="12"/>
      <c r="EL571" s="15"/>
      <c r="FR571" s="38" t="s">
        <v>809</v>
      </c>
      <c r="FT571" s="38">
        <v>30</v>
      </c>
    </row>
    <row r="572" spans="1:176" s="38" customFormat="1" x14ac:dyDescent="0.25">
      <c r="A572" s="38">
        <v>30</v>
      </c>
      <c r="B572" s="38" t="s">
        <v>518</v>
      </c>
      <c r="C572" s="38" t="s">
        <v>519</v>
      </c>
      <c r="D572" s="38">
        <v>2002</v>
      </c>
      <c r="E572" s="38">
        <v>1999</v>
      </c>
      <c r="F572" s="38" t="s">
        <v>520</v>
      </c>
      <c r="G572" s="38" t="s">
        <v>521</v>
      </c>
      <c r="H572" s="38">
        <f t="shared" si="191"/>
        <v>38.533333333333331</v>
      </c>
      <c r="I572" s="38">
        <f t="shared" si="192"/>
        <v>-121.78333333333333</v>
      </c>
      <c r="J572" s="38">
        <v>18.399999999999999</v>
      </c>
      <c r="N572" s="38">
        <v>483</v>
      </c>
      <c r="P572" s="57">
        <v>3</v>
      </c>
      <c r="Q572" s="57"/>
      <c r="R572" s="57">
        <v>36198</v>
      </c>
      <c r="S572" s="57" t="s">
        <v>1571</v>
      </c>
      <c r="T572" s="57" t="s">
        <v>1571</v>
      </c>
      <c r="U572" s="57" t="s">
        <v>1593</v>
      </c>
      <c r="V572" s="57" t="s">
        <v>1911</v>
      </c>
      <c r="X572" s="38">
        <v>36</v>
      </c>
      <c r="Y572" s="38">
        <v>46</v>
      </c>
      <c r="Z572" s="38" t="s">
        <v>167</v>
      </c>
      <c r="AD572" s="38" t="s">
        <v>1491</v>
      </c>
      <c r="AE572" s="38" t="s">
        <v>1713</v>
      </c>
      <c r="AF572" s="152" t="s">
        <v>666</v>
      </c>
      <c r="AG572" s="38" t="s">
        <v>1768</v>
      </c>
      <c r="AH572" s="155" t="s">
        <v>1793</v>
      </c>
      <c r="AI572" s="38" t="s">
        <v>522</v>
      </c>
      <c r="AJ572" s="38" t="s">
        <v>522</v>
      </c>
      <c r="AK572" s="38" t="s">
        <v>212</v>
      </c>
      <c r="AO572" s="38" t="s">
        <v>418</v>
      </c>
      <c r="AP572" s="38" t="s">
        <v>523</v>
      </c>
      <c r="AQ572" s="38" t="s">
        <v>587</v>
      </c>
      <c r="AR572" s="38" t="s">
        <v>147</v>
      </c>
      <c r="AS572" s="38">
        <v>4</v>
      </c>
      <c r="AT572" s="38">
        <v>4</v>
      </c>
      <c r="AU572" s="38" t="s">
        <v>379</v>
      </c>
      <c r="AY572" s="64"/>
      <c r="CT572" s="38">
        <v>1.2999999999999999E-2</v>
      </c>
      <c r="CU572" s="38">
        <v>6.9000000000000006E-2</v>
      </c>
      <c r="CV572" s="38" t="s">
        <v>527</v>
      </c>
      <c r="CZ572" s="38">
        <f>2.22/17.1*100</f>
        <v>12.982456140350877</v>
      </c>
      <c r="DA572" s="38">
        <f>1.68/17.1*100</f>
        <v>9.8245614035087705</v>
      </c>
      <c r="DB572" s="38" t="s">
        <v>526</v>
      </c>
      <c r="DI572" s="38">
        <v>0.26869999999999999</v>
      </c>
      <c r="DJ572" s="38">
        <v>0.28589999999999999</v>
      </c>
      <c r="DK572" s="38" t="s">
        <v>525</v>
      </c>
      <c r="EJ572" s="12"/>
      <c r="EL572" s="15"/>
      <c r="FR572" s="38" t="s">
        <v>809</v>
      </c>
      <c r="FT572" s="38">
        <v>30</v>
      </c>
    </row>
    <row r="573" spans="1:176" s="38" customFormat="1" x14ac:dyDescent="0.25">
      <c r="A573" s="38">
        <v>30</v>
      </c>
      <c r="B573" s="38" t="s">
        <v>518</v>
      </c>
      <c r="C573" s="38" t="s">
        <v>519</v>
      </c>
      <c r="D573" s="38">
        <v>2002</v>
      </c>
      <c r="E573" s="38">
        <v>1999</v>
      </c>
      <c r="F573" s="38" t="s">
        <v>520</v>
      </c>
      <c r="G573" s="38" t="s">
        <v>521</v>
      </c>
      <c r="H573" s="38">
        <f t="shared" si="191"/>
        <v>38.533333333333331</v>
      </c>
      <c r="I573" s="38">
        <f t="shared" si="192"/>
        <v>-121.78333333333333</v>
      </c>
      <c r="J573" s="38">
        <v>18.399999999999999</v>
      </c>
      <c r="N573" s="38">
        <v>483</v>
      </c>
      <c r="P573" s="57">
        <v>3</v>
      </c>
      <c r="Q573" s="57"/>
      <c r="R573" s="57">
        <v>36198</v>
      </c>
      <c r="S573" s="57" t="s">
        <v>1571</v>
      </c>
      <c r="T573" s="57" t="s">
        <v>1571</v>
      </c>
      <c r="U573" s="57" t="s">
        <v>1593</v>
      </c>
      <c r="V573" s="57" t="s">
        <v>1911</v>
      </c>
      <c r="X573" s="38">
        <v>36</v>
      </c>
      <c r="Y573" s="38">
        <v>46</v>
      </c>
      <c r="Z573" s="38" t="s">
        <v>167</v>
      </c>
      <c r="AD573" s="38" t="s">
        <v>1491</v>
      </c>
      <c r="AE573" s="38" t="s">
        <v>1713</v>
      </c>
      <c r="AF573" s="152" t="s">
        <v>666</v>
      </c>
      <c r="AG573" s="38" t="s">
        <v>1768</v>
      </c>
      <c r="AH573" s="155" t="s">
        <v>1793</v>
      </c>
      <c r="AI573" s="38" t="s">
        <v>522</v>
      </c>
      <c r="AJ573" s="38" t="s">
        <v>522</v>
      </c>
      <c r="AK573" s="38" t="s">
        <v>212</v>
      </c>
      <c r="AO573" s="38" t="s">
        <v>418</v>
      </c>
      <c r="AP573" s="38" t="s">
        <v>524</v>
      </c>
      <c r="AQ573" s="38" t="s">
        <v>587</v>
      </c>
      <c r="AR573" s="38" t="s">
        <v>147</v>
      </c>
      <c r="AS573" s="38">
        <v>4</v>
      </c>
      <c r="AT573" s="38">
        <v>4</v>
      </c>
      <c r="AU573" s="38" t="s">
        <v>379</v>
      </c>
      <c r="AY573" s="64"/>
      <c r="CT573" s="38">
        <v>1.2999999999999999E-2</v>
      </c>
      <c r="CU573" s="38">
        <v>7.8E-2</v>
      </c>
      <c r="CV573" s="38" t="s">
        <v>527</v>
      </c>
      <c r="CZ573" s="38">
        <f>2.22/17.1*100</f>
        <v>12.982456140350877</v>
      </c>
      <c r="DA573" s="38">
        <f>1.39/17.1*100</f>
        <v>8.1286549707602322</v>
      </c>
      <c r="DB573" s="38" t="s">
        <v>526</v>
      </c>
      <c r="DI573" s="38">
        <v>0.26869999999999999</v>
      </c>
      <c r="DJ573" s="38">
        <v>0.28589999999999999</v>
      </c>
      <c r="DK573" s="38" t="s">
        <v>525</v>
      </c>
      <c r="EJ573" s="12"/>
      <c r="EL573" s="15"/>
      <c r="FR573" s="38" t="s">
        <v>809</v>
      </c>
      <c r="FT573" s="38">
        <v>30</v>
      </c>
    </row>
    <row r="574" spans="1:176" s="38" customFormat="1" x14ac:dyDescent="0.25">
      <c r="A574" s="38">
        <v>30</v>
      </c>
      <c r="B574" s="38" t="s">
        <v>518</v>
      </c>
      <c r="C574" s="38" t="s">
        <v>519</v>
      </c>
      <c r="D574" s="38">
        <v>2002</v>
      </c>
      <c r="E574" s="38">
        <v>1999</v>
      </c>
      <c r="F574" s="38" t="s">
        <v>520</v>
      </c>
      <c r="G574" s="38" t="s">
        <v>521</v>
      </c>
      <c r="H574" s="38">
        <f t="shared" si="191"/>
        <v>38.533333333333331</v>
      </c>
      <c r="I574" s="38">
        <f t="shared" si="192"/>
        <v>-121.78333333333333</v>
      </c>
      <c r="J574" s="38">
        <v>18.399999999999999</v>
      </c>
      <c r="N574" s="38">
        <v>483</v>
      </c>
      <c r="P574" s="57">
        <v>3</v>
      </c>
      <c r="Q574" s="57"/>
      <c r="R574" s="57">
        <v>36232</v>
      </c>
      <c r="S574" s="57" t="s">
        <v>1571</v>
      </c>
      <c r="T574" s="57" t="s">
        <v>1571</v>
      </c>
      <c r="U574" s="57" t="s">
        <v>1593</v>
      </c>
      <c r="V574" s="57" t="s">
        <v>1911</v>
      </c>
      <c r="X574" s="38">
        <v>36</v>
      </c>
      <c r="Y574" s="38">
        <v>46</v>
      </c>
      <c r="Z574" s="38" t="s">
        <v>167</v>
      </c>
      <c r="AD574" s="38" t="s">
        <v>1491</v>
      </c>
      <c r="AE574" s="38" t="s">
        <v>1713</v>
      </c>
      <c r="AF574" s="152" t="s">
        <v>666</v>
      </c>
      <c r="AG574" s="38" t="s">
        <v>1768</v>
      </c>
      <c r="AH574" s="155" t="s">
        <v>1793</v>
      </c>
      <c r="AI574" s="38" t="s">
        <v>522</v>
      </c>
      <c r="AJ574" s="38" t="s">
        <v>522</v>
      </c>
      <c r="AK574" s="38" t="s">
        <v>212</v>
      </c>
      <c r="AO574" s="38" t="s">
        <v>418</v>
      </c>
      <c r="AP574" s="38" t="s">
        <v>523</v>
      </c>
      <c r="AQ574" s="38" t="s">
        <v>587</v>
      </c>
      <c r="AR574" s="38" t="s">
        <v>147</v>
      </c>
      <c r="AS574" s="38">
        <v>4</v>
      </c>
      <c r="AT574" s="38">
        <v>4</v>
      </c>
      <c r="AU574" s="38" t="s">
        <v>379</v>
      </c>
      <c r="AY574" s="64"/>
      <c r="CT574" s="38">
        <v>4.7999999999999996E-3</v>
      </c>
      <c r="CU574" s="38">
        <v>6.9000000000000006E-2</v>
      </c>
      <c r="CV574" s="38" t="s">
        <v>527</v>
      </c>
      <c r="CZ574" s="38">
        <f>3.41/14.3*100</f>
        <v>23.846153846153843</v>
      </c>
      <c r="DA574" s="38">
        <f>0.21/14.3*100</f>
        <v>1.4685314685314685</v>
      </c>
      <c r="DB574" s="38" t="s">
        <v>526</v>
      </c>
      <c r="DI574" s="38">
        <v>0.25319999999999998</v>
      </c>
      <c r="DJ574" s="38">
        <v>0.25869999999999999</v>
      </c>
      <c r="DK574" s="38" t="s">
        <v>525</v>
      </c>
      <c r="EJ574" s="12"/>
      <c r="EL574" s="15"/>
      <c r="FR574" s="38" t="s">
        <v>809</v>
      </c>
      <c r="FT574" s="38">
        <v>30</v>
      </c>
    </row>
    <row r="575" spans="1:176" s="38" customFormat="1" x14ac:dyDescent="0.25">
      <c r="A575" s="38">
        <v>30</v>
      </c>
      <c r="B575" s="38" t="s">
        <v>518</v>
      </c>
      <c r="C575" s="38" t="s">
        <v>519</v>
      </c>
      <c r="D575" s="38">
        <v>2002</v>
      </c>
      <c r="E575" s="38">
        <v>1999</v>
      </c>
      <c r="F575" s="38" t="s">
        <v>520</v>
      </c>
      <c r="G575" s="38" t="s">
        <v>521</v>
      </c>
      <c r="H575" s="38">
        <f t="shared" si="191"/>
        <v>38.533333333333331</v>
      </c>
      <c r="I575" s="38">
        <f t="shared" si="192"/>
        <v>-121.78333333333333</v>
      </c>
      <c r="J575" s="38">
        <v>18.399999999999999</v>
      </c>
      <c r="N575" s="38">
        <v>483</v>
      </c>
      <c r="P575" s="57">
        <v>3</v>
      </c>
      <c r="Q575" s="57"/>
      <c r="R575" s="57">
        <v>36232</v>
      </c>
      <c r="S575" s="57" t="s">
        <v>1571</v>
      </c>
      <c r="T575" s="57" t="s">
        <v>1571</v>
      </c>
      <c r="U575" s="57" t="s">
        <v>1593</v>
      </c>
      <c r="V575" s="57" t="s">
        <v>1911</v>
      </c>
      <c r="X575" s="38">
        <v>36</v>
      </c>
      <c r="Y575" s="38">
        <v>46</v>
      </c>
      <c r="Z575" s="38" t="s">
        <v>167</v>
      </c>
      <c r="AD575" s="38" t="s">
        <v>1491</v>
      </c>
      <c r="AE575" s="38" t="s">
        <v>1713</v>
      </c>
      <c r="AF575" s="152" t="s">
        <v>666</v>
      </c>
      <c r="AG575" s="38" t="s">
        <v>1768</v>
      </c>
      <c r="AH575" s="155" t="s">
        <v>1793</v>
      </c>
      <c r="AI575" s="38" t="s">
        <v>522</v>
      </c>
      <c r="AJ575" s="38" t="s">
        <v>522</v>
      </c>
      <c r="AK575" s="38" t="s">
        <v>212</v>
      </c>
      <c r="AO575" s="38" t="s">
        <v>418</v>
      </c>
      <c r="AP575" s="38" t="s">
        <v>524</v>
      </c>
      <c r="AQ575" s="38" t="s">
        <v>587</v>
      </c>
      <c r="AR575" s="38" t="s">
        <v>147</v>
      </c>
      <c r="AS575" s="38">
        <v>4</v>
      </c>
      <c r="AT575" s="38">
        <v>4</v>
      </c>
      <c r="AU575" s="38" t="s">
        <v>379</v>
      </c>
      <c r="AY575" s="64"/>
      <c r="CT575" s="38">
        <v>4.7999999999999996E-3</v>
      </c>
      <c r="CU575" s="38">
        <v>7.8E-2</v>
      </c>
      <c r="CV575" s="38" t="s">
        <v>527</v>
      </c>
      <c r="CZ575" s="38">
        <f>3.41/14.3*100</f>
        <v>23.846153846153843</v>
      </c>
      <c r="DA575" s="38">
        <f>1.01/14.3*100</f>
        <v>7.0629370629370625</v>
      </c>
      <c r="DB575" s="38" t="s">
        <v>526</v>
      </c>
      <c r="DI575" s="38">
        <v>0.25319999999999998</v>
      </c>
      <c r="DJ575" s="38">
        <v>0.25869999999999999</v>
      </c>
      <c r="DK575" s="38" t="s">
        <v>525</v>
      </c>
      <c r="EJ575" s="12"/>
      <c r="EL575" s="15"/>
      <c r="FR575" s="38" t="s">
        <v>809</v>
      </c>
      <c r="FT575" s="38">
        <v>30</v>
      </c>
    </row>
    <row r="576" spans="1:176" s="38" customFormat="1" x14ac:dyDescent="0.25">
      <c r="A576" s="38">
        <v>30</v>
      </c>
      <c r="B576" s="38" t="s">
        <v>518</v>
      </c>
      <c r="C576" s="38" t="s">
        <v>519</v>
      </c>
      <c r="D576" s="38">
        <v>2002</v>
      </c>
      <c r="E576" s="38">
        <v>1999</v>
      </c>
      <c r="F576" s="38" t="s">
        <v>520</v>
      </c>
      <c r="G576" s="38" t="s">
        <v>521</v>
      </c>
      <c r="H576" s="38">
        <f t="shared" si="191"/>
        <v>38.533333333333331</v>
      </c>
      <c r="I576" s="38">
        <f t="shared" si="192"/>
        <v>-121.78333333333333</v>
      </c>
      <c r="J576" s="38">
        <v>18.399999999999999</v>
      </c>
      <c r="N576" s="38">
        <v>483</v>
      </c>
      <c r="P576" s="57">
        <v>3</v>
      </c>
      <c r="Q576" s="57"/>
      <c r="R576" s="57">
        <v>36234</v>
      </c>
      <c r="S576" s="57" t="s">
        <v>1571</v>
      </c>
      <c r="T576" s="57" t="s">
        <v>1571</v>
      </c>
      <c r="U576" s="57" t="s">
        <v>1593</v>
      </c>
      <c r="V576" s="57" t="s">
        <v>1911</v>
      </c>
      <c r="X576" s="38">
        <v>36</v>
      </c>
      <c r="Y576" s="38">
        <v>46</v>
      </c>
      <c r="Z576" s="38" t="s">
        <v>167</v>
      </c>
      <c r="AD576" s="38" t="s">
        <v>1491</v>
      </c>
      <c r="AE576" s="38" t="s">
        <v>1713</v>
      </c>
      <c r="AF576" s="152" t="s">
        <v>666</v>
      </c>
      <c r="AG576" s="38" t="s">
        <v>1768</v>
      </c>
      <c r="AH576" s="155" t="s">
        <v>1793</v>
      </c>
      <c r="AI576" s="38" t="s">
        <v>522</v>
      </c>
      <c r="AJ576" s="38" t="s">
        <v>522</v>
      </c>
      <c r="AK576" s="38" t="s">
        <v>212</v>
      </c>
      <c r="AO576" s="38" t="s">
        <v>418</v>
      </c>
      <c r="AP576" s="38" t="s">
        <v>523</v>
      </c>
      <c r="AQ576" s="38" t="s">
        <v>587</v>
      </c>
      <c r="AR576" s="38" t="s">
        <v>147</v>
      </c>
      <c r="AS576" s="38">
        <v>4</v>
      </c>
      <c r="AT576" s="38">
        <v>4</v>
      </c>
      <c r="AU576" s="38" t="s">
        <v>379</v>
      </c>
      <c r="AY576" s="64"/>
      <c r="CT576" s="38">
        <v>3.7000000000000002E-3</v>
      </c>
      <c r="CU576" s="38">
        <v>6.3E-2</v>
      </c>
      <c r="CV576" s="38" t="s">
        <v>527</v>
      </c>
      <c r="CZ576" s="38">
        <v>0</v>
      </c>
      <c r="DA576" s="38">
        <v>0</v>
      </c>
      <c r="DB576" s="38" t="s">
        <v>526</v>
      </c>
      <c r="DI576" s="38">
        <v>0.246</v>
      </c>
      <c r="DJ576" s="38">
        <v>0.24779999999999999</v>
      </c>
      <c r="DK576" s="38" t="s">
        <v>525</v>
      </c>
      <c r="EJ576" s="12"/>
      <c r="EL576" s="15"/>
      <c r="FR576" s="38" t="s">
        <v>809</v>
      </c>
      <c r="FT576" s="38">
        <v>30</v>
      </c>
    </row>
    <row r="577" spans="1:176" s="38" customFormat="1" x14ac:dyDescent="0.25">
      <c r="A577" s="38">
        <v>30</v>
      </c>
      <c r="B577" s="38" t="s">
        <v>518</v>
      </c>
      <c r="C577" s="38" t="s">
        <v>519</v>
      </c>
      <c r="D577" s="38">
        <v>2002</v>
      </c>
      <c r="E577" s="38">
        <v>1999</v>
      </c>
      <c r="F577" s="38" t="s">
        <v>520</v>
      </c>
      <c r="G577" s="38" t="s">
        <v>521</v>
      </c>
      <c r="H577" s="38">
        <f t="shared" si="191"/>
        <v>38.533333333333331</v>
      </c>
      <c r="I577" s="38">
        <f t="shared" si="192"/>
        <v>-121.78333333333333</v>
      </c>
      <c r="J577" s="38">
        <v>18.399999999999999</v>
      </c>
      <c r="N577" s="38">
        <v>483</v>
      </c>
      <c r="P577" s="57">
        <v>3</v>
      </c>
      <c r="Q577" s="57"/>
      <c r="R577" s="57">
        <v>36234</v>
      </c>
      <c r="S577" s="57" t="s">
        <v>1571</v>
      </c>
      <c r="T577" s="57" t="s">
        <v>1571</v>
      </c>
      <c r="U577" s="57" t="s">
        <v>1593</v>
      </c>
      <c r="V577" s="57" t="s">
        <v>1911</v>
      </c>
      <c r="X577" s="38">
        <v>36</v>
      </c>
      <c r="Y577" s="38">
        <v>46</v>
      </c>
      <c r="Z577" s="38" t="s">
        <v>167</v>
      </c>
      <c r="AD577" s="38" t="s">
        <v>1491</v>
      </c>
      <c r="AE577" s="38" t="s">
        <v>1713</v>
      </c>
      <c r="AF577" s="152" t="s">
        <v>666</v>
      </c>
      <c r="AG577" s="38" t="s">
        <v>1768</v>
      </c>
      <c r="AH577" s="155" t="s">
        <v>1793</v>
      </c>
      <c r="AI577" s="38" t="s">
        <v>522</v>
      </c>
      <c r="AJ577" s="38" t="s">
        <v>522</v>
      </c>
      <c r="AK577" s="38" t="s">
        <v>212</v>
      </c>
      <c r="AO577" s="38" t="s">
        <v>418</v>
      </c>
      <c r="AP577" s="38" t="s">
        <v>524</v>
      </c>
      <c r="AQ577" s="38" t="s">
        <v>587</v>
      </c>
      <c r="AR577" s="38" t="s">
        <v>147</v>
      </c>
      <c r="AS577" s="38">
        <v>4</v>
      </c>
      <c r="AT577" s="38">
        <v>4</v>
      </c>
      <c r="AU577" s="38" t="s">
        <v>379</v>
      </c>
      <c r="AY577" s="64"/>
      <c r="CT577" s="38">
        <v>3.7000000000000002E-3</v>
      </c>
      <c r="CU577" s="38">
        <v>7.6999999999999999E-2</v>
      </c>
      <c r="CV577" s="38" t="s">
        <v>527</v>
      </c>
      <c r="CZ577" s="38">
        <v>0</v>
      </c>
      <c r="DA577" s="38">
        <v>0</v>
      </c>
      <c r="DB577" s="38" t="s">
        <v>526</v>
      </c>
      <c r="DI577" s="38">
        <v>0.246</v>
      </c>
      <c r="DJ577" s="38">
        <v>0.24779999999999999</v>
      </c>
      <c r="DK577" s="38" t="s">
        <v>525</v>
      </c>
      <c r="EJ577" s="12"/>
      <c r="EL577" s="15"/>
      <c r="FR577" s="38" t="s">
        <v>809</v>
      </c>
      <c r="FT577" s="38">
        <v>30</v>
      </c>
    </row>
    <row r="578" spans="1:176" s="38" customFormat="1" x14ac:dyDescent="0.25">
      <c r="A578" s="38">
        <v>30</v>
      </c>
      <c r="B578" s="38" t="s">
        <v>518</v>
      </c>
      <c r="C578" s="38" t="s">
        <v>519</v>
      </c>
      <c r="D578" s="38">
        <v>2002</v>
      </c>
      <c r="E578" s="38">
        <v>1999</v>
      </c>
      <c r="F578" s="38" t="s">
        <v>520</v>
      </c>
      <c r="G578" s="38" t="s">
        <v>521</v>
      </c>
      <c r="H578" s="38">
        <f t="shared" si="191"/>
        <v>38.533333333333331</v>
      </c>
      <c r="I578" s="38">
        <f t="shared" si="192"/>
        <v>-121.78333333333333</v>
      </c>
      <c r="J578" s="38">
        <v>18.399999999999999</v>
      </c>
      <c r="N578" s="38">
        <v>483</v>
      </c>
      <c r="P578" s="57">
        <v>3</v>
      </c>
      <c r="Q578" s="57"/>
      <c r="R578" s="57">
        <v>36514</v>
      </c>
      <c r="S578" s="57" t="s">
        <v>1571</v>
      </c>
      <c r="T578" s="57" t="s">
        <v>1571</v>
      </c>
      <c r="U578" s="57" t="s">
        <v>1593</v>
      </c>
      <c r="V578" s="57" t="s">
        <v>1911</v>
      </c>
      <c r="X578" s="38">
        <v>36</v>
      </c>
      <c r="Y578" s="38">
        <v>46</v>
      </c>
      <c r="Z578" s="38" t="s">
        <v>167</v>
      </c>
      <c r="AD578" s="38" t="s">
        <v>1491</v>
      </c>
      <c r="AE578" s="38" t="s">
        <v>1713</v>
      </c>
      <c r="AF578" s="152" t="s">
        <v>666</v>
      </c>
      <c r="AG578" s="38" t="s">
        <v>1768</v>
      </c>
      <c r="AH578" s="155" t="s">
        <v>1793</v>
      </c>
      <c r="AI578" s="38" t="s">
        <v>522</v>
      </c>
      <c r="AJ578" s="38" t="s">
        <v>522</v>
      </c>
      <c r="AK578" s="38" t="s">
        <v>212</v>
      </c>
      <c r="AO578" s="38" t="s">
        <v>418</v>
      </c>
      <c r="AP578" s="38" t="s">
        <v>523</v>
      </c>
      <c r="AQ578" s="38" t="s">
        <v>587</v>
      </c>
      <c r="AR578" s="38" t="s">
        <v>147</v>
      </c>
      <c r="AS578" s="38">
        <v>4</v>
      </c>
      <c r="AT578" s="38">
        <v>4</v>
      </c>
      <c r="AU578" s="38" t="s">
        <v>379</v>
      </c>
      <c r="AY578" s="64"/>
      <c r="CT578" s="38">
        <v>3.3999999999999998E-3</v>
      </c>
      <c r="CU578" s="38">
        <v>5.5E-2</v>
      </c>
      <c r="CV578" s="38" t="s">
        <v>527</v>
      </c>
      <c r="CZ578" s="38">
        <f>0.32/3*100</f>
        <v>10.666666666666668</v>
      </c>
      <c r="DA578" s="38">
        <f>0.02/3*100</f>
        <v>0.66666666666666674</v>
      </c>
      <c r="DB578" s="38" t="s">
        <v>526</v>
      </c>
      <c r="DI578" s="38">
        <v>0.1182</v>
      </c>
      <c r="DJ578" s="38">
        <v>0.12089999999999999</v>
      </c>
      <c r="DK578" s="38" t="s">
        <v>525</v>
      </c>
      <c r="EJ578" s="12"/>
      <c r="EL578" s="15"/>
      <c r="FR578" s="38" t="s">
        <v>809</v>
      </c>
      <c r="FT578" s="38">
        <v>30</v>
      </c>
    </row>
    <row r="579" spans="1:176" s="38" customFormat="1" x14ac:dyDescent="0.25">
      <c r="A579" s="38">
        <v>30</v>
      </c>
      <c r="B579" s="38" t="s">
        <v>518</v>
      </c>
      <c r="C579" s="38" t="s">
        <v>519</v>
      </c>
      <c r="D579" s="38">
        <v>2002</v>
      </c>
      <c r="E579" s="38">
        <v>1999</v>
      </c>
      <c r="F579" s="38" t="s">
        <v>520</v>
      </c>
      <c r="G579" s="38" t="s">
        <v>521</v>
      </c>
      <c r="H579" s="38">
        <f t="shared" si="191"/>
        <v>38.533333333333331</v>
      </c>
      <c r="I579" s="38">
        <f t="shared" si="192"/>
        <v>-121.78333333333333</v>
      </c>
      <c r="J579" s="38">
        <v>18.399999999999999</v>
      </c>
      <c r="N579" s="38">
        <v>483</v>
      </c>
      <c r="P579" s="57">
        <v>3</v>
      </c>
      <c r="Q579" s="57"/>
      <c r="R579" s="57">
        <v>36514</v>
      </c>
      <c r="S579" s="57" t="s">
        <v>1571</v>
      </c>
      <c r="T579" s="57" t="s">
        <v>1571</v>
      </c>
      <c r="U579" s="57" t="s">
        <v>1593</v>
      </c>
      <c r="V579" s="57" t="s">
        <v>1911</v>
      </c>
      <c r="X579" s="38">
        <v>36</v>
      </c>
      <c r="Y579" s="38">
        <v>46</v>
      </c>
      <c r="Z579" s="38" t="s">
        <v>167</v>
      </c>
      <c r="AD579" s="38" t="s">
        <v>1491</v>
      </c>
      <c r="AE579" s="38" t="s">
        <v>1713</v>
      </c>
      <c r="AF579" s="152" t="s">
        <v>666</v>
      </c>
      <c r="AG579" s="38" t="s">
        <v>1768</v>
      </c>
      <c r="AH579" s="155" t="s">
        <v>1793</v>
      </c>
      <c r="AI579" s="38" t="s">
        <v>522</v>
      </c>
      <c r="AJ579" s="38" t="s">
        <v>522</v>
      </c>
      <c r="AK579" s="38" t="s">
        <v>212</v>
      </c>
      <c r="AO579" s="38" t="s">
        <v>418</v>
      </c>
      <c r="AP579" s="38" t="s">
        <v>524</v>
      </c>
      <c r="AQ579" s="38" t="s">
        <v>587</v>
      </c>
      <c r="AR579" s="38" t="s">
        <v>147</v>
      </c>
      <c r="AS579" s="38">
        <v>4</v>
      </c>
      <c r="AT579" s="38">
        <v>4</v>
      </c>
      <c r="AU579" s="38" t="s">
        <v>379</v>
      </c>
      <c r="AY579" s="64"/>
      <c r="CT579" s="38">
        <v>3.3999999999999998E-3</v>
      </c>
      <c r="CU579" s="38">
        <v>6.6000000000000003E-2</v>
      </c>
      <c r="CV579" s="38" t="s">
        <v>527</v>
      </c>
      <c r="CZ579" s="38">
        <f>0.32/3*100</f>
        <v>10.666666666666668</v>
      </c>
      <c r="DA579" s="38">
        <f>0.13/3*100</f>
        <v>4.3333333333333339</v>
      </c>
      <c r="DB579" s="38" t="s">
        <v>526</v>
      </c>
      <c r="DI579" s="38">
        <v>0.1182</v>
      </c>
      <c r="DJ579" s="38">
        <v>0.12089999999999999</v>
      </c>
      <c r="DK579" s="38" t="s">
        <v>525</v>
      </c>
      <c r="EJ579" s="12"/>
      <c r="EL579" s="15"/>
      <c r="FR579" s="38" t="s">
        <v>809</v>
      </c>
      <c r="FT579" s="38">
        <v>30</v>
      </c>
    </row>
    <row r="580" spans="1:176" s="38" customFormat="1" x14ac:dyDescent="0.25">
      <c r="A580" s="38">
        <v>30</v>
      </c>
      <c r="B580" s="38" t="s">
        <v>518</v>
      </c>
      <c r="C580" s="38" t="s">
        <v>519</v>
      </c>
      <c r="D580" s="38">
        <v>2002</v>
      </c>
      <c r="E580" s="38">
        <v>2000</v>
      </c>
      <c r="F580" s="38" t="s">
        <v>520</v>
      </c>
      <c r="G580" s="38" t="s">
        <v>521</v>
      </c>
      <c r="H580" s="38">
        <f t="shared" si="191"/>
        <v>38.533333333333331</v>
      </c>
      <c r="I580" s="38">
        <f t="shared" si="192"/>
        <v>-121.78333333333333</v>
      </c>
      <c r="J580" s="38">
        <v>18.399999999999999</v>
      </c>
      <c r="N580" s="38">
        <v>483</v>
      </c>
      <c r="P580" s="57">
        <v>4</v>
      </c>
      <c r="Q580" s="57"/>
      <c r="R580" s="57">
        <v>36535</v>
      </c>
      <c r="S580" s="57" t="s">
        <v>1571</v>
      </c>
      <c r="T580" s="57" t="s">
        <v>1571</v>
      </c>
      <c r="U580" s="57" t="s">
        <v>1593</v>
      </c>
      <c r="V580" s="57" t="s">
        <v>1911</v>
      </c>
      <c r="X580" s="38">
        <v>36</v>
      </c>
      <c r="Y580" s="38">
        <v>46</v>
      </c>
      <c r="Z580" s="38" t="s">
        <v>167</v>
      </c>
      <c r="AD580" s="38" t="s">
        <v>1491</v>
      </c>
      <c r="AE580" s="38" t="s">
        <v>1713</v>
      </c>
      <c r="AF580" s="152" t="s">
        <v>666</v>
      </c>
      <c r="AG580" s="38" t="s">
        <v>1768</v>
      </c>
      <c r="AH580" s="155" t="s">
        <v>1793</v>
      </c>
      <c r="AI580" s="38" t="s">
        <v>522</v>
      </c>
      <c r="AJ580" s="38" t="s">
        <v>522</v>
      </c>
      <c r="AK580" s="38" t="s">
        <v>212</v>
      </c>
      <c r="AO580" s="38" t="s">
        <v>418</v>
      </c>
      <c r="AP580" s="38" t="s">
        <v>523</v>
      </c>
      <c r="AQ580" s="38" t="s">
        <v>587</v>
      </c>
      <c r="AR580" s="38" t="s">
        <v>147</v>
      </c>
      <c r="AS580" s="38">
        <v>4</v>
      </c>
      <c r="AT580" s="38">
        <v>4</v>
      </c>
      <c r="AU580" s="38" t="s">
        <v>379</v>
      </c>
      <c r="AY580" s="64"/>
      <c r="CT580" s="38">
        <v>3.3E-3</v>
      </c>
      <c r="CU580" s="38">
        <v>5.3999999999999999E-2</v>
      </c>
      <c r="CV580" s="38" t="s">
        <v>527</v>
      </c>
      <c r="CZ580" s="38">
        <f>0.15/7.1*100</f>
        <v>2.112676056338028</v>
      </c>
      <c r="DA580" s="38">
        <f>0.18/7.1*100</f>
        <v>2.535211267605634</v>
      </c>
      <c r="DB580" s="38" t="s">
        <v>526</v>
      </c>
      <c r="DI580" s="38">
        <v>0.11169999999999999</v>
      </c>
      <c r="DJ580" s="38">
        <v>0.1163</v>
      </c>
      <c r="DK580" s="38" t="s">
        <v>525</v>
      </c>
      <c r="EJ580" s="12"/>
      <c r="EL580" s="15"/>
      <c r="FR580" s="38" t="s">
        <v>809</v>
      </c>
      <c r="FT580" s="38">
        <v>30</v>
      </c>
    </row>
    <row r="581" spans="1:176" s="38" customFormat="1" x14ac:dyDescent="0.25">
      <c r="A581" s="38">
        <v>30</v>
      </c>
      <c r="B581" s="38" t="s">
        <v>518</v>
      </c>
      <c r="C581" s="38" t="s">
        <v>519</v>
      </c>
      <c r="D581" s="38">
        <v>2002</v>
      </c>
      <c r="E581" s="38">
        <v>2000</v>
      </c>
      <c r="F581" s="38" t="s">
        <v>520</v>
      </c>
      <c r="G581" s="38" t="s">
        <v>521</v>
      </c>
      <c r="H581" s="38">
        <f t="shared" si="191"/>
        <v>38.533333333333331</v>
      </c>
      <c r="I581" s="38">
        <f t="shared" si="192"/>
        <v>-121.78333333333333</v>
      </c>
      <c r="J581" s="38">
        <v>18.399999999999999</v>
      </c>
      <c r="N581" s="38">
        <v>483</v>
      </c>
      <c r="P581" s="57">
        <v>4</v>
      </c>
      <c r="Q581" s="57"/>
      <c r="R581" s="57">
        <v>36535</v>
      </c>
      <c r="S581" s="57" t="s">
        <v>1571</v>
      </c>
      <c r="T581" s="57" t="s">
        <v>1571</v>
      </c>
      <c r="U581" s="57" t="s">
        <v>1593</v>
      </c>
      <c r="V581" s="57" t="s">
        <v>1911</v>
      </c>
      <c r="X581" s="38">
        <v>36</v>
      </c>
      <c r="Y581" s="38">
        <v>46</v>
      </c>
      <c r="Z581" s="38" t="s">
        <v>167</v>
      </c>
      <c r="AD581" s="38" t="s">
        <v>1491</v>
      </c>
      <c r="AE581" s="38" t="s">
        <v>1713</v>
      </c>
      <c r="AF581" s="152" t="s">
        <v>666</v>
      </c>
      <c r="AG581" s="38" t="s">
        <v>1768</v>
      </c>
      <c r="AH581" s="155" t="s">
        <v>1793</v>
      </c>
      <c r="AI581" s="38" t="s">
        <v>522</v>
      </c>
      <c r="AJ581" s="38" t="s">
        <v>522</v>
      </c>
      <c r="AK581" s="38" t="s">
        <v>212</v>
      </c>
      <c r="AO581" s="38" t="s">
        <v>418</v>
      </c>
      <c r="AP581" s="38" t="s">
        <v>524</v>
      </c>
      <c r="AQ581" s="38" t="s">
        <v>587</v>
      </c>
      <c r="AR581" s="38" t="s">
        <v>147</v>
      </c>
      <c r="AS581" s="38">
        <v>4</v>
      </c>
      <c r="AT581" s="38">
        <v>4</v>
      </c>
      <c r="AU581" s="38" t="s">
        <v>379</v>
      </c>
      <c r="AY581" s="64"/>
      <c r="CT581" s="38">
        <v>3.3E-3</v>
      </c>
      <c r="CU581" s="38">
        <v>6.6000000000000003E-2</v>
      </c>
      <c r="CV581" s="38" t="s">
        <v>527</v>
      </c>
      <c r="CZ581" s="38">
        <f>0.15/7.1*100</f>
        <v>2.112676056338028</v>
      </c>
      <c r="DA581" s="38">
        <f>0.08/7.1*100</f>
        <v>1.1267605633802817</v>
      </c>
      <c r="DB581" s="38" t="s">
        <v>526</v>
      </c>
      <c r="DI581" s="38">
        <v>0.11169999999999999</v>
      </c>
      <c r="DJ581" s="38">
        <v>0.1163</v>
      </c>
      <c r="DK581" s="38" t="s">
        <v>525</v>
      </c>
      <c r="EJ581" s="12"/>
      <c r="EL581" s="15"/>
      <c r="FR581" s="38" t="s">
        <v>809</v>
      </c>
      <c r="FT581" s="38">
        <v>30</v>
      </c>
    </row>
    <row r="582" spans="1:176" s="38" customFormat="1" x14ac:dyDescent="0.25">
      <c r="A582" s="38">
        <v>30</v>
      </c>
      <c r="B582" s="38" t="s">
        <v>518</v>
      </c>
      <c r="C582" s="38" t="s">
        <v>519</v>
      </c>
      <c r="D582" s="38">
        <v>2002</v>
      </c>
      <c r="E582" s="38">
        <v>2000</v>
      </c>
      <c r="F582" s="38" t="s">
        <v>520</v>
      </c>
      <c r="G582" s="38" t="s">
        <v>521</v>
      </c>
      <c r="H582" s="38">
        <f t="shared" si="191"/>
        <v>38.533333333333331</v>
      </c>
      <c r="I582" s="38">
        <f t="shared" si="192"/>
        <v>-121.78333333333333</v>
      </c>
      <c r="J582" s="38">
        <v>18.399999999999999</v>
      </c>
      <c r="N582" s="38">
        <v>483</v>
      </c>
      <c r="P582" s="57">
        <v>4</v>
      </c>
      <c r="Q582" s="57"/>
      <c r="R582" s="57">
        <v>36541</v>
      </c>
      <c r="S582" s="57" t="s">
        <v>1571</v>
      </c>
      <c r="T582" s="57" t="s">
        <v>1571</v>
      </c>
      <c r="U582" s="57" t="s">
        <v>1593</v>
      </c>
      <c r="V582" s="57" t="s">
        <v>1911</v>
      </c>
      <c r="X582" s="38">
        <v>36</v>
      </c>
      <c r="Y582" s="38">
        <v>46</v>
      </c>
      <c r="Z582" s="38" t="s">
        <v>167</v>
      </c>
      <c r="AD582" s="38" t="s">
        <v>1491</v>
      </c>
      <c r="AE582" s="38" t="s">
        <v>1713</v>
      </c>
      <c r="AF582" s="152" t="s">
        <v>666</v>
      </c>
      <c r="AG582" s="38" t="s">
        <v>1768</v>
      </c>
      <c r="AH582" s="155" t="s">
        <v>1793</v>
      </c>
      <c r="AI582" s="38" t="s">
        <v>522</v>
      </c>
      <c r="AJ582" s="38" t="s">
        <v>522</v>
      </c>
      <c r="AK582" s="38" t="s">
        <v>212</v>
      </c>
      <c r="AO582" s="38" t="s">
        <v>418</v>
      </c>
      <c r="AP582" s="38" t="s">
        <v>523</v>
      </c>
      <c r="AQ582" s="38" t="s">
        <v>587</v>
      </c>
      <c r="AR582" s="38" t="s">
        <v>147</v>
      </c>
      <c r="AS582" s="38">
        <v>4</v>
      </c>
      <c r="AT582" s="38">
        <v>4</v>
      </c>
      <c r="AU582" s="38" t="s">
        <v>379</v>
      </c>
      <c r="AY582" s="64"/>
      <c r="CT582" s="38">
        <v>3.0999999999999999E-3</v>
      </c>
      <c r="CU582" s="38">
        <v>5.3999999999999999E-2</v>
      </c>
      <c r="CV582" s="38" t="s">
        <v>527</v>
      </c>
      <c r="CZ582" s="38">
        <f>18.89/101.7*100</f>
        <v>18.574237954768929</v>
      </c>
      <c r="DA582" s="38">
        <f>4.51/101.7*100</f>
        <v>4.4346116027531952</v>
      </c>
      <c r="DB582" s="38" t="s">
        <v>526</v>
      </c>
      <c r="DI582" s="38">
        <v>0.1225</v>
      </c>
      <c r="DJ582" s="38">
        <v>0.1225</v>
      </c>
      <c r="DK582" s="38" t="s">
        <v>525</v>
      </c>
      <c r="EJ582" s="12"/>
      <c r="EL582" s="15"/>
      <c r="FR582" s="38" t="s">
        <v>809</v>
      </c>
      <c r="FT582" s="38">
        <v>30</v>
      </c>
    </row>
    <row r="583" spans="1:176" s="38" customFormat="1" x14ac:dyDescent="0.25">
      <c r="A583" s="38">
        <v>30</v>
      </c>
      <c r="B583" s="38" t="s">
        <v>518</v>
      </c>
      <c r="C583" s="38" t="s">
        <v>519</v>
      </c>
      <c r="D583" s="38">
        <v>2002</v>
      </c>
      <c r="E583" s="38">
        <v>2000</v>
      </c>
      <c r="F583" s="38" t="s">
        <v>520</v>
      </c>
      <c r="G583" s="38" t="s">
        <v>521</v>
      </c>
      <c r="H583" s="38">
        <f t="shared" si="191"/>
        <v>38.533333333333331</v>
      </c>
      <c r="I583" s="38">
        <f t="shared" si="192"/>
        <v>-121.78333333333333</v>
      </c>
      <c r="J583" s="38">
        <v>18.399999999999999</v>
      </c>
      <c r="N583" s="38">
        <v>483</v>
      </c>
      <c r="P583" s="57">
        <v>4</v>
      </c>
      <c r="Q583" s="57"/>
      <c r="R583" s="57">
        <v>36541</v>
      </c>
      <c r="S583" s="57" t="s">
        <v>1571</v>
      </c>
      <c r="T583" s="57" t="s">
        <v>1571</v>
      </c>
      <c r="U583" s="57" t="s">
        <v>1593</v>
      </c>
      <c r="V583" s="57" t="s">
        <v>1911</v>
      </c>
      <c r="X583" s="38">
        <v>36</v>
      </c>
      <c r="Y583" s="38">
        <v>46</v>
      </c>
      <c r="Z583" s="38" t="s">
        <v>167</v>
      </c>
      <c r="AD583" s="38" t="s">
        <v>1491</v>
      </c>
      <c r="AE583" s="38" t="s">
        <v>1713</v>
      </c>
      <c r="AF583" s="152" t="s">
        <v>666</v>
      </c>
      <c r="AG583" s="38" t="s">
        <v>1768</v>
      </c>
      <c r="AH583" s="155" t="s">
        <v>1793</v>
      </c>
      <c r="AI583" s="38" t="s">
        <v>522</v>
      </c>
      <c r="AJ583" s="38" t="s">
        <v>522</v>
      </c>
      <c r="AK583" s="38" t="s">
        <v>212</v>
      </c>
      <c r="AO583" s="38" t="s">
        <v>418</v>
      </c>
      <c r="AP583" s="38" t="s">
        <v>524</v>
      </c>
      <c r="AQ583" s="38" t="s">
        <v>587</v>
      </c>
      <c r="AR583" s="38" t="s">
        <v>147</v>
      </c>
      <c r="AS583" s="38">
        <v>4</v>
      </c>
      <c r="AT583" s="38">
        <v>4</v>
      </c>
      <c r="AU583" s="38" t="s">
        <v>379</v>
      </c>
      <c r="AY583" s="64"/>
      <c r="CT583" s="38">
        <v>3.0999999999999999E-3</v>
      </c>
      <c r="CU583" s="38">
        <v>0.06</v>
      </c>
      <c r="CV583" s="38" t="s">
        <v>527</v>
      </c>
      <c r="CZ583" s="38">
        <f>18.89/101.7*100</f>
        <v>18.574237954768929</v>
      </c>
      <c r="DA583" s="38">
        <f>7.51/101.7*100</f>
        <v>7.3844641101278263</v>
      </c>
      <c r="DB583" s="38" t="s">
        <v>526</v>
      </c>
      <c r="DI583" s="38">
        <v>0.1225</v>
      </c>
      <c r="DJ583" s="38">
        <v>0.1225</v>
      </c>
      <c r="DK583" s="38" t="s">
        <v>525</v>
      </c>
      <c r="EJ583" s="12"/>
      <c r="EL583" s="15"/>
      <c r="FR583" s="38" t="s">
        <v>809</v>
      </c>
      <c r="FT583" s="38">
        <v>30</v>
      </c>
    </row>
    <row r="584" spans="1:176" s="38" customFormat="1" x14ac:dyDescent="0.25">
      <c r="A584" s="38">
        <v>30</v>
      </c>
      <c r="B584" s="38" t="s">
        <v>518</v>
      </c>
      <c r="C584" s="38" t="s">
        <v>519</v>
      </c>
      <c r="D584" s="38">
        <v>2002</v>
      </c>
      <c r="E584" s="38">
        <v>2000</v>
      </c>
      <c r="F584" s="38" t="s">
        <v>520</v>
      </c>
      <c r="G584" s="38" t="s">
        <v>521</v>
      </c>
      <c r="H584" s="38">
        <f t="shared" si="191"/>
        <v>38.533333333333331</v>
      </c>
      <c r="I584" s="38">
        <f t="shared" si="192"/>
        <v>-121.78333333333333</v>
      </c>
      <c r="J584" s="38">
        <v>18.399999999999999</v>
      </c>
      <c r="N584" s="38">
        <v>483</v>
      </c>
      <c r="P584" s="57">
        <v>4</v>
      </c>
      <c r="Q584" s="57"/>
      <c r="R584" s="57">
        <v>36549</v>
      </c>
      <c r="S584" s="57" t="s">
        <v>1571</v>
      </c>
      <c r="T584" s="57" t="s">
        <v>1571</v>
      </c>
      <c r="U584" s="57" t="s">
        <v>1593</v>
      </c>
      <c r="V584" s="57" t="s">
        <v>1911</v>
      </c>
      <c r="X584" s="38">
        <v>36</v>
      </c>
      <c r="Y584" s="38">
        <v>46</v>
      </c>
      <c r="Z584" s="38" t="s">
        <v>167</v>
      </c>
      <c r="AD584" s="38" t="s">
        <v>1491</v>
      </c>
      <c r="AE584" s="38" t="s">
        <v>1713</v>
      </c>
      <c r="AF584" s="152" t="s">
        <v>666</v>
      </c>
      <c r="AG584" s="38" t="s">
        <v>1768</v>
      </c>
      <c r="AH584" s="155" t="s">
        <v>1793</v>
      </c>
      <c r="AI584" s="38" t="s">
        <v>522</v>
      </c>
      <c r="AJ584" s="38" t="s">
        <v>522</v>
      </c>
      <c r="AK584" s="38" t="s">
        <v>212</v>
      </c>
      <c r="AO584" s="38" t="s">
        <v>418</v>
      </c>
      <c r="AP584" s="38" t="s">
        <v>523</v>
      </c>
      <c r="AQ584" s="38" t="s">
        <v>587</v>
      </c>
      <c r="AR584" s="38" t="s">
        <v>147</v>
      </c>
      <c r="AS584" s="38">
        <v>4</v>
      </c>
      <c r="AT584" s="38">
        <v>4</v>
      </c>
      <c r="AU584" s="38" t="s">
        <v>379</v>
      </c>
      <c r="AY584" s="64"/>
      <c r="CZ584" s="38">
        <f>0.29/4.6*100</f>
        <v>6.3043478260869561</v>
      </c>
      <c r="DA584" s="38">
        <f>0.22/4.6*100</f>
        <v>4.7826086956521738</v>
      </c>
      <c r="DB584" s="38" t="s">
        <v>526</v>
      </c>
      <c r="DI584" s="38">
        <v>0.14960000000000001</v>
      </c>
      <c r="DJ584" s="38">
        <v>0.1641</v>
      </c>
      <c r="DK584" s="38" t="s">
        <v>525</v>
      </c>
      <c r="EJ584" s="12"/>
      <c r="EL584" s="15"/>
      <c r="FR584" s="38" t="s">
        <v>809</v>
      </c>
      <c r="FT584" s="38">
        <v>30</v>
      </c>
    </row>
    <row r="585" spans="1:176" s="38" customFormat="1" x14ac:dyDescent="0.25">
      <c r="A585" s="38">
        <v>30</v>
      </c>
      <c r="B585" s="38" t="s">
        <v>518</v>
      </c>
      <c r="C585" s="38" t="s">
        <v>519</v>
      </c>
      <c r="D585" s="38">
        <v>2002</v>
      </c>
      <c r="E585" s="38">
        <v>2000</v>
      </c>
      <c r="F585" s="38" t="s">
        <v>520</v>
      </c>
      <c r="G585" s="38" t="s">
        <v>521</v>
      </c>
      <c r="H585" s="38">
        <f t="shared" si="191"/>
        <v>38.533333333333331</v>
      </c>
      <c r="I585" s="38">
        <f t="shared" si="192"/>
        <v>-121.78333333333333</v>
      </c>
      <c r="J585" s="38">
        <v>18.399999999999999</v>
      </c>
      <c r="N585" s="38">
        <v>483</v>
      </c>
      <c r="P585" s="57">
        <v>4</v>
      </c>
      <c r="Q585" s="57"/>
      <c r="R585" s="57">
        <v>36549</v>
      </c>
      <c r="S585" s="57" t="s">
        <v>1571</v>
      </c>
      <c r="T585" s="57" t="s">
        <v>1571</v>
      </c>
      <c r="U585" s="57" t="s">
        <v>1593</v>
      </c>
      <c r="V585" s="57" t="s">
        <v>1911</v>
      </c>
      <c r="X585" s="38">
        <v>36</v>
      </c>
      <c r="Y585" s="38">
        <v>46</v>
      </c>
      <c r="Z585" s="38" t="s">
        <v>167</v>
      </c>
      <c r="AD585" s="38" t="s">
        <v>1491</v>
      </c>
      <c r="AE585" s="38" t="s">
        <v>1713</v>
      </c>
      <c r="AF585" s="152" t="s">
        <v>666</v>
      </c>
      <c r="AG585" s="38" t="s">
        <v>1768</v>
      </c>
      <c r="AH585" s="155" t="s">
        <v>1793</v>
      </c>
      <c r="AI585" s="38" t="s">
        <v>522</v>
      </c>
      <c r="AJ585" s="38" t="s">
        <v>522</v>
      </c>
      <c r="AK585" s="38" t="s">
        <v>212</v>
      </c>
      <c r="AO585" s="38" t="s">
        <v>418</v>
      </c>
      <c r="AP585" s="38" t="s">
        <v>524</v>
      </c>
      <c r="AQ585" s="38" t="s">
        <v>587</v>
      </c>
      <c r="AR585" s="38" t="s">
        <v>147</v>
      </c>
      <c r="AS585" s="38">
        <v>4</v>
      </c>
      <c r="AT585" s="38">
        <v>4</v>
      </c>
      <c r="AU585" s="38" t="s">
        <v>379</v>
      </c>
      <c r="AY585" s="64"/>
      <c r="CZ585" s="38">
        <f>0.29/4.6*100</f>
        <v>6.3043478260869561</v>
      </c>
      <c r="DA585" s="38">
        <f>0.23/4.6*100</f>
        <v>5</v>
      </c>
      <c r="DB585" s="38" t="s">
        <v>526</v>
      </c>
      <c r="DI585" s="38">
        <v>0.14960000000000001</v>
      </c>
      <c r="DJ585" s="38">
        <v>0.1542</v>
      </c>
      <c r="DK585" s="38" t="s">
        <v>525</v>
      </c>
      <c r="EJ585" s="12"/>
      <c r="EL585" s="15"/>
      <c r="FR585" s="38" t="s">
        <v>809</v>
      </c>
      <c r="FT585" s="38">
        <v>30</v>
      </c>
    </row>
    <row r="586" spans="1:176" s="38" customFormat="1" x14ac:dyDescent="0.25">
      <c r="A586" s="38">
        <v>30</v>
      </c>
      <c r="B586" s="38" t="s">
        <v>518</v>
      </c>
      <c r="C586" s="38" t="s">
        <v>519</v>
      </c>
      <c r="D586" s="38">
        <v>2002</v>
      </c>
      <c r="E586" s="38">
        <v>2000</v>
      </c>
      <c r="F586" s="38" t="s">
        <v>520</v>
      </c>
      <c r="G586" s="38" t="s">
        <v>521</v>
      </c>
      <c r="H586" s="38">
        <f t="shared" si="191"/>
        <v>38.533333333333331</v>
      </c>
      <c r="I586" s="38">
        <f t="shared" si="192"/>
        <v>-121.78333333333333</v>
      </c>
      <c r="J586" s="38">
        <v>18.399999999999999</v>
      </c>
      <c r="N586" s="38">
        <v>483</v>
      </c>
      <c r="P586" s="57">
        <v>4</v>
      </c>
      <c r="Q586" s="57"/>
      <c r="R586" s="57">
        <v>36562</v>
      </c>
      <c r="S586" s="57" t="s">
        <v>1571</v>
      </c>
      <c r="T586" s="57" t="s">
        <v>1571</v>
      </c>
      <c r="U586" s="57" t="s">
        <v>1593</v>
      </c>
      <c r="V586" s="57" t="s">
        <v>1911</v>
      </c>
      <c r="X586" s="38">
        <v>36</v>
      </c>
      <c r="Y586" s="38">
        <v>46</v>
      </c>
      <c r="Z586" s="38" t="s">
        <v>167</v>
      </c>
      <c r="AD586" s="38" t="s">
        <v>1491</v>
      </c>
      <c r="AE586" s="38" t="s">
        <v>1713</v>
      </c>
      <c r="AF586" s="152" t="s">
        <v>666</v>
      </c>
      <c r="AG586" s="38" t="s">
        <v>1768</v>
      </c>
      <c r="AH586" s="155" t="s">
        <v>1793</v>
      </c>
      <c r="AI586" s="38" t="s">
        <v>522</v>
      </c>
      <c r="AJ586" s="38" t="s">
        <v>522</v>
      </c>
      <c r="AK586" s="38" t="s">
        <v>212</v>
      </c>
      <c r="AO586" s="38" t="s">
        <v>418</v>
      </c>
      <c r="AP586" s="38" t="s">
        <v>523</v>
      </c>
      <c r="AQ586" s="38" t="s">
        <v>587</v>
      </c>
      <c r="AR586" s="38" t="s">
        <v>147</v>
      </c>
      <c r="AS586" s="38">
        <v>4</v>
      </c>
      <c r="AT586" s="38">
        <v>4</v>
      </c>
      <c r="AU586" s="38" t="s">
        <v>379</v>
      </c>
      <c r="AY586" s="64"/>
      <c r="CZ586" s="38">
        <f>15.83/67.6*100</f>
        <v>23.417159763313609</v>
      </c>
      <c r="DA586" s="38">
        <f>1.64/67.6*100</f>
        <v>2.4260355029585798</v>
      </c>
      <c r="DB586" s="38" t="s">
        <v>526</v>
      </c>
      <c r="DI586" s="38">
        <v>0.25180000000000002</v>
      </c>
      <c r="DJ586" s="38">
        <v>0.2671</v>
      </c>
      <c r="DK586" s="38" t="s">
        <v>525</v>
      </c>
      <c r="EJ586" s="12"/>
      <c r="EL586" s="15"/>
      <c r="FR586" s="38" t="s">
        <v>809</v>
      </c>
      <c r="FT586" s="38">
        <v>30</v>
      </c>
    </row>
    <row r="587" spans="1:176" s="38" customFormat="1" x14ac:dyDescent="0.25">
      <c r="A587" s="38">
        <v>30</v>
      </c>
      <c r="B587" s="38" t="s">
        <v>518</v>
      </c>
      <c r="C587" s="38" t="s">
        <v>519</v>
      </c>
      <c r="D587" s="38">
        <v>2002</v>
      </c>
      <c r="E587" s="38">
        <v>2000</v>
      </c>
      <c r="F587" s="38" t="s">
        <v>520</v>
      </c>
      <c r="G587" s="38" t="s">
        <v>521</v>
      </c>
      <c r="H587" s="38">
        <f t="shared" si="191"/>
        <v>38.533333333333331</v>
      </c>
      <c r="I587" s="38">
        <f t="shared" si="192"/>
        <v>-121.78333333333333</v>
      </c>
      <c r="J587" s="38">
        <v>18.399999999999999</v>
      </c>
      <c r="N587" s="38">
        <v>483</v>
      </c>
      <c r="P587" s="57">
        <v>4</v>
      </c>
      <c r="Q587" s="57"/>
      <c r="R587" s="57">
        <v>36562</v>
      </c>
      <c r="S587" s="57" t="s">
        <v>1571</v>
      </c>
      <c r="T587" s="57" t="s">
        <v>1571</v>
      </c>
      <c r="U587" s="57" t="s">
        <v>1593</v>
      </c>
      <c r="V587" s="57" t="s">
        <v>1911</v>
      </c>
      <c r="X587" s="38">
        <v>36</v>
      </c>
      <c r="Y587" s="38">
        <v>46</v>
      </c>
      <c r="Z587" s="38" t="s">
        <v>167</v>
      </c>
      <c r="AD587" s="38" t="s">
        <v>1491</v>
      </c>
      <c r="AE587" s="38" t="s">
        <v>1713</v>
      </c>
      <c r="AF587" s="152" t="s">
        <v>666</v>
      </c>
      <c r="AG587" s="38" t="s">
        <v>1768</v>
      </c>
      <c r="AH587" s="155" t="s">
        <v>1793</v>
      </c>
      <c r="AI587" s="38" t="s">
        <v>522</v>
      </c>
      <c r="AJ587" s="38" t="s">
        <v>522</v>
      </c>
      <c r="AK587" s="38" t="s">
        <v>212</v>
      </c>
      <c r="AO587" s="38" t="s">
        <v>418</v>
      </c>
      <c r="AP587" s="38" t="s">
        <v>524</v>
      </c>
      <c r="AQ587" s="38" t="s">
        <v>587</v>
      </c>
      <c r="AR587" s="38" t="s">
        <v>147</v>
      </c>
      <c r="AS587" s="38">
        <v>4</v>
      </c>
      <c r="AT587" s="38">
        <v>4</v>
      </c>
      <c r="AU587" s="38" t="s">
        <v>379</v>
      </c>
      <c r="AY587" s="64"/>
      <c r="CZ587" s="38">
        <f>15.83/67.6*100</f>
        <v>23.417159763313609</v>
      </c>
      <c r="DA587" s="38">
        <f>2.32/67.6*100</f>
        <v>3.4319526627218933</v>
      </c>
      <c r="DB587" s="38" t="s">
        <v>526</v>
      </c>
      <c r="DI587" s="38">
        <v>0.25180000000000002</v>
      </c>
      <c r="DJ587" s="38">
        <v>0.2671</v>
      </c>
      <c r="DK587" s="38" t="s">
        <v>525</v>
      </c>
      <c r="EJ587" s="12"/>
      <c r="EL587" s="15"/>
      <c r="FR587" s="38" t="s">
        <v>809</v>
      </c>
      <c r="FT587" s="38">
        <v>30</v>
      </c>
    </row>
    <row r="588" spans="1:176" s="38" customFormat="1" x14ac:dyDescent="0.25">
      <c r="A588" s="38">
        <v>30</v>
      </c>
      <c r="B588" s="38" t="s">
        <v>518</v>
      </c>
      <c r="C588" s="38" t="s">
        <v>519</v>
      </c>
      <c r="D588" s="38">
        <v>2002</v>
      </c>
      <c r="E588" s="38">
        <v>2000</v>
      </c>
      <c r="F588" s="38" t="s">
        <v>520</v>
      </c>
      <c r="G588" s="38" t="s">
        <v>521</v>
      </c>
      <c r="H588" s="38">
        <f t="shared" si="191"/>
        <v>38.533333333333331</v>
      </c>
      <c r="I588" s="38">
        <f t="shared" si="192"/>
        <v>-121.78333333333333</v>
      </c>
      <c r="J588" s="38">
        <v>18.399999999999999</v>
      </c>
      <c r="N588" s="38">
        <v>483</v>
      </c>
      <c r="P588" s="57">
        <v>4</v>
      </c>
      <c r="Q588" s="57"/>
      <c r="R588" s="57">
        <v>36566</v>
      </c>
      <c r="S588" s="57" t="s">
        <v>1571</v>
      </c>
      <c r="T588" s="57" t="s">
        <v>1571</v>
      </c>
      <c r="U588" s="57" t="s">
        <v>1593</v>
      </c>
      <c r="V588" s="57" t="s">
        <v>1911</v>
      </c>
      <c r="X588" s="38">
        <v>36</v>
      </c>
      <c r="Y588" s="38">
        <v>46</v>
      </c>
      <c r="Z588" s="38" t="s">
        <v>167</v>
      </c>
      <c r="AD588" s="38" t="s">
        <v>1491</v>
      </c>
      <c r="AE588" s="38" t="s">
        <v>1713</v>
      </c>
      <c r="AF588" s="152" t="s">
        <v>666</v>
      </c>
      <c r="AG588" s="38" t="s">
        <v>1768</v>
      </c>
      <c r="AH588" s="155" t="s">
        <v>1793</v>
      </c>
      <c r="AI588" s="38" t="s">
        <v>522</v>
      </c>
      <c r="AJ588" s="38" t="s">
        <v>522</v>
      </c>
      <c r="AK588" s="38" t="s">
        <v>212</v>
      </c>
      <c r="AO588" s="38" t="s">
        <v>418</v>
      </c>
      <c r="AP588" s="38" t="s">
        <v>523</v>
      </c>
      <c r="AQ588" s="38" t="s">
        <v>587</v>
      </c>
      <c r="AR588" s="38" t="s">
        <v>147</v>
      </c>
      <c r="AS588" s="38">
        <v>4</v>
      </c>
      <c r="AT588" s="38">
        <v>4</v>
      </c>
      <c r="AU588" s="38" t="s">
        <v>379</v>
      </c>
      <c r="AY588" s="64"/>
      <c r="CZ588" s="38">
        <f>6.93/14.3*100</f>
        <v>48.461538461538453</v>
      </c>
      <c r="DA588" s="38">
        <f>0.98/14.3*100</f>
        <v>6.8531468531468516</v>
      </c>
      <c r="DB588" s="38" t="s">
        <v>526</v>
      </c>
      <c r="DI588" s="38">
        <v>0.25900000000000001</v>
      </c>
      <c r="DJ588" s="38">
        <v>0.27429999999999999</v>
      </c>
      <c r="DK588" s="38" t="s">
        <v>525</v>
      </c>
      <c r="EJ588" s="12"/>
      <c r="EL588" s="15"/>
      <c r="FR588" s="38" t="s">
        <v>809</v>
      </c>
      <c r="FT588" s="38">
        <v>30</v>
      </c>
    </row>
    <row r="589" spans="1:176" s="38" customFormat="1" x14ac:dyDescent="0.25">
      <c r="A589" s="38">
        <v>30</v>
      </c>
      <c r="B589" s="38" t="s">
        <v>518</v>
      </c>
      <c r="C589" s="38" t="s">
        <v>519</v>
      </c>
      <c r="D589" s="38">
        <v>2002</v>
      </c>
      <c r="E589" s="38">
        <v>2000</v>
      </c>
      <c r="F589" s="38" t="s">
        <v>520</v>
      </c>
      <c r="G589" s="38" t="s">
        <v>521</v>
      </c>
      <c r="H589" s="38">
        <f t="shared" si="191"/>
        <v>38.533333333333331</v>
      </c>
      <c r="I589" s="38">
        <f t="shared" si="192"/>
        <v>-121.78333333333333</v>
      </c>
      <c r="J589" s="38">
        <v>18.399999999999999</v>
      </c>
      <c r="N589" s="38">
        <v>483</v>
      </c>
      <c r="P589" s="57">
        <v>4</v>
      </c>
      <c r="Q589" s="57"/>
      <c r="R589" s="57">
        <v>36566</v>
      </c>
      <c r="S589" s="57" t="s">
        <v>1571</v>
      </c>
      <c r="T589" s="57" t="s">
        <v>1571</v>
      </c>
      <c r="U589" s="57" t="s">
        <v>1593</v>
      </c>
      <c r="V589" s="57" t="s">
        <v>1911</v>
      </c>
      <c r="X589" s="38">
        <v>36</v>
      </c>
      <c r="Y589" s="38">
        <v>46</v>
      </c>
      <c r="Z589" s="38" t="s">
        <v>167</v>
      </c>
      <c r="AD589" s="38" t="s">
        <v>1491</v>
      </c>
      <c r="AE589" s="38" t="s">
        <v>1713</v>
      </c>
      <c r="AF589" s="152" t="s">
        <v>666</v>
      </c>
      <c r="AG589" s="38" t="s">
        <v>1768</v>
      </c>
      <c r="AH589" s="155" t="s">
        <v>1793</v>
      </c>
      <c r="AI589" s="38" t="s">
        <v>522</v>
      </c>
      <c r="AJ589" s="38" t="s">
        <v>522</v>
      </c>
      <c r="AK589" s="38" t="s">
        <v>212</v>
      </c>
      <c r="AO589" s="38" t="s">
        <v>418</v>
      </c>
      <c r="AP589" s="38" t="s">
        <v>524</v>
      </c>
      <c r="AQ589" s="38" t="s">
        <v>587</v>
      </c>
      <c r="AR589" s="38" t="s">
        <v>147</v>
      </c>
      <c r="AS589" s="38">
        <v>4</v>
      </c>
      <c r="AT589" s="38">
        <v>4</v>
      </c>
      <c r="AU589" s="38" t="s">
        <v>379</v>
      </c>
      <c r="AY589" s="64"/>
      <c r="CZ589" s="38">
        <f>6.93/14.3*100</f>
        <v>48.461538461538453</v>
      </c>
      <c r="DA589" s="38">
        <f>0.26/14.3*100</f>
        <v>1.8181818181818181</v>
      </c>
      <c r="DB589" s="38" t="s">
        <v>526</v>
      </c>
      <c r="DI589" s="38">
        <v>0.25900000000000001</v>
      </c>
      <c r="DJ589" s="38">
        <v>0.2797</v>
      </c>
      <c r="DK589" s="38" t="s">
        <v>525</v>
      </c>
      <c r="EJ589" s="12"/>
      <c r="EL589" s="15"/>
      <c r="FR589" s="38" t="s">
        <v>809</v>
      </c>
      <c r="FT589" s="38">
        <v>30</v>
      </c>
    </row>
    <row r="590" spans="1:176" s="38" customFormat="1" x14ac:dyDescent="0.25">
      <c r="A590" s="38">
        <v>30</v>
      </c>
      <c r="B590" s="38" t="s">
        <v>518</v>
      </c>
      <c r="C590" s="38" t="s">
        <v>519</v>
      </c>
      <c r="D590" s="38">
        <v>2002</v>
      </c>
      <c r="E590" s="38">
        <v>2000</v>
      </c>
      <c r="F590" s="38" t="s">
        <v>520</v>
      </c>
      <c r="G590" s="38" t="s">
        <v>521</v>
      </c>
      <c r="H590" s="38">
        <f t="shared" si="191"/>
        <v>38.533333333333331</v>
      </c>
      <c r="I590" s="38">
        <f t="shared" si="192"/>
        <v>-121.78333333333333</v>
      </c>
      <c r="J590" s="38">
        <v>18.399999999999999</v>
      </c>
      <c r="N590" s="38">
        <v>483</v>
      </c>
      <c r="P590" s="57">
        <v>4</v>
      </c>
      <c r="Q590" s="57"/>
      <c r="R590" s="57">
        <v>36572</v>
      </c>
      <c r="S590" s="57" t="s">
        <v>1571</v>
      </c>
      <c r="T590" s="57" t="s">
        <v>1571</v>
      </c>
      <c r="U590" s="57" t="s">
        <v>1593</v>
      </c>
      <c r="V590" s="57" t="s">
        <v>1911</v>
      </c>
      <c r="X590" s="38">
        <v>36</v>
      </c>
      <c r="Y590" s="38">
        <v>46</v>
      </c>
      <c r="Z590" s="38" t="s">
        <v>167</v>
      </c>
      <c r="AD590" s="38" t="s">
        <v>1491</v>
      </c>
      <c r="AE590" s="38" t="s">
        <v>1713</v>
      </c>
      <c r="AF590" s="152" t="s">
        <v>666</v>
      </c>
      <c r="AG590" s="38" t="s">
        <v>1768</v>
      </c>
      <c r="AH590" s="155" t="s">
        <v>1793</v>
      </c>
      <c r="AI590" s="38" t="s">
        <v>522</v>
      </c>
      <c r="AJ590" s="38" t="s">
        <v>522</v>
      </c>
      <c r="AK590" s="38" t="s">
        <v>212</v>
      </c>
      <c r="AO590" s="38" t="s">
        <v>418</v>
      </c>
      <c r="AP590" s="38" t="s">
        <v>523</v>
      </c>
      <c r="AQ590" s="38" t="s">
        <v>587</v>
      </c>
      <c r="AR590" s="38" t="s">
        <v>147</v>
      </c>
      <c r="AS590" s="38">
        <v>4</v>
      </c>
      <c r="AT590" s="38">
        <v>4</v>
      </c>
      <c r="AU590" s="38" t="s">
        <v>379</v>
      </c>
      <c r="AY590" s="64"/>
      <c r="CZ590" s="38">
        <f>1.05/5.9*100</f>
        <v>17.796610169491526</v>
      </c>
      <c r="DA590" s="38">
        <f>0.19/5.9*100</f>
        <v>3.2203389830508473</v>
      </c>
      <c r="DB590" s="38" t="s">
        <v>526</v>
      </c>
      <c r="DI590" s="38">
        <v>0.26429999999999998</v>
      </c>
      <c r="DJ590" s="38">
        <v>0.28239999999999998</v>
      </c>
      <c r="DK590" s="38" t="s">
        <v>525</v>
      </c>
      <c r="EJ590" s="12"/>
      <c r="EL590" s="15"/>
      <c r="FR590" s="38" t="s">
        <v>809</v>
      </c>
      <c r="FT590" s="38">
        <v>30</v>
      </c>
    </row>
    <row r="591" spans="1:176" s="38" customFormat="1" x14ac:dyDescent="0.25">
      <c r="A591" s="38">
        <v>30</v>
      </c>
      <c r="B591" s="38" t="s">
        <v>518</v>
      </c>
      <c r="C591" s="38" t="s">
        <v>519</v>
      </c>
      <c r="D591" s="38">
        <v>2002</v>
      </c>
      <c r="E591" s="38">
        <v>2000</v>
      </c>
      <c r="F591" s="38" t="s">
        <v>520</v>
      </c>
      <c r="G591" s="38" t="s">
        <v>521</v>
      </c>
      <c r="H591" s="38">
        <f t="shared" si="191"/>
        <v>38.533333333333331</v>
      </c>
      <c r="I591" s="38">
        <f t="shared" si="192"/>
        <v>-121.78333333333333</v>
      </c>
      <c r="J591" s="38">
        <v>18.399999999999999</v>
      </c>
      <c r="N591" s="38">
        <v>483</v>
      </c>
      <c r="P591" s="57">
        <v>4</v>
      </c>
      <c r="Q591" s="57"/>
      <c r="R591" s="57">
        <v>36572</v>
      </c>
      <c r="S591" s="57" t="s">
        <v>1571</v>
      </c>
      <c r="T591" s="57" t="s">
        <v>1571</v>
      </c>
      <c r="U591" s="57" t="s">
        <v>1593</v>
      </c>
      <c r="V591" s="57" t="s">
        <v>1911</v>
      </c>
      <c r="X591" s="38">
        <v>36</v>
      </c>
      <c r="Y591" s="38">
        <v>46</v>
      </c>
      <c r="Z591" s="38" t="s">
        <v>167</v>
      </c>
      <c r="AD591" s="38" t="s">
        <v>1491</v>
      </c>
      <c r="AE591" s="38" t="s">
        <v>1713</v>
      </c>
      <c r="AF591" s="152" t="s">
        <v>666</v>
      </c>
      <c r="AG591" s="38" t="s">
        <v>1768</v>
      </c>
      <c r="AH591" s="155" t="s">
        <v>1793</v>
      </c>
      <c r="AI591" s="38" t="s">
        <v>522</v>
      </c>
      <c r="AJ591" s="38" t="s">
        <v>522</v>
      </c>
      <c r="AK591" s="38" t="s">
        <v>212</v>
      </c>
      <c r="AO591" s="38" t="s">
        <v>418</v>
      </c>
      <c r="AP591" s="38" t="s">
        <v>524</v>
      </c>
      <c r="AQ591" s="38" t="s">
        <v>587</v>
      </c>
      <c r="AR591" s="38" t="s">
        <v>147</v>
      </c>
      <c r="AS591" s="38">
        <v>4</v>
      </c>
      <c r="AT591" s="38">
        <v>4</v>
      </c>
      <c r="AU591" s="38" t="s">
        <v>379</v>
      </c>
      <c r="AY591" s="64"/>
      <c r="CZ591" s="38">
        <f>1.05/5.9*100</f>
        <v>17.796610169491526</v>
      </c>
      <c r="DA591" s="38">
        <f>0.24/5.9*100</f>
        <v>4.0677966101694913</v>
      </c>
      <c r="DB591" s="38" t="s">
        <v>526</v>
      </c>
      <c r="DI591" s="38">
        <v>0.26429999999999998</v>
      </c>
      <c r="DJ591" s="38">
        <v>0.2923</v>
      </c>
      <c r="DK591" s="38" t="s">
        <v>525</v>
      </c>
      <c r="EJ591" s="12"/>
      <c r="EL591" s="15"/>
      <c r="FR591" s="38" t="s">
        <v>809</v>
      </c>
      <c r="FT591" s="38">
        <v>30</v>
      </c>
    </row>
    <row r="592" spans="1:176" s="38" customFormat="1" x14ac:dyDescent="0.25">
      <c r="A592" s="38">
        <v>30</v>
      </c>
      <c r="B592" s="38" t="s">
        <v>518</v>
      </c>
      <c r="C592" s="38" t="s">
        <v>519</v>
      </c>
      <c r="D592" s="38">
        <v>2002</v>
      </c>
      <c r="E592" s="38">
        <v>2000</v>
      </c>
      <c r="F592" s="38" t="s">
        <v>520</v>
      </c>
      <c r="G592" s="38" t="s">
        <v>521</v>
      </c>
      <c r="H592" s="38">
        <f t="shared" si="191"/>
        <v>38.533333333333331</v>
      </c>
      <c r="I592" s="38">
        <f t="shared" si="192"/>
        <v>-121.78333333333333</v>
      </c>
      <c r="J592" s="38">
        <v>18.399999999999999</v>
      </c>
      <c r="N592" s="38">
        <v>483</v>
      </c>
      <c r="P592" s="57">
        <v>4</v>
      </c>
      <c r="Q592" s="57"/>
      <c r="R592" s="57">
        <v>36582</v>
      </c>
      <c r="S592" s="57" t="s">
        <v>1571</v>
      </c>
      <c r="T592" s="57" t="s">
        <v>1571</v>
      </c>
      <c r="U592" s="57" t="s">
        <v>1593</v>
      </c>
      <c r="V592" s="57" t="s">
        <v>1911</v>
      </c>
      <c r="X592" s="38">
        <v>36</v>
      </c>
      <c r="Y592" s="38">
        <v>46</v>
      </c>
      <c r="Z592" s="38" t="s">
        <v>167</v>
      </c>
      <c r="AD592" s="38" t="s">
        <v>1491</v>
      </c>
      <c r="AE592" s="38" t="s">
        <v>1713</v>
      </c>
      <c r="AF592" s="152" t="s">
        <v>666</v>
      </c>
      <c r="AG592" s="38" t="s">
        <v>1768</v>
      </c>
      <c r="AH592" s="155" t="s">
        <v>1793</v>
      </c>
      <c r="AI592" s="38" t="s">
        <v>522</v>
      </c>
      <c r="AJ592" s="38" t="s">
        <v>522</v>
      </c>
      <c r="AK592" s="38" t="s">
        <v>212</v>
      </c>
      <c r="AO592" s="38" t="s">
        <v>418</v>
      </c>
      <c r="AP592" s="38" t="s">
        <v>523</v>
      </c>
      <c r="AQ592" s="38" t="s">
        <v>587</v>
      </c>
      <c r="AR592" s="38" t="s">
        <v>147</v>
      </c>
      <c r="AS592" s="38">
        <v>4</v>
      </c>
      <c r="AT592" s="38">
        <v>4</v>
      </c>
      <c r="AU592" s="38" t="s">
        <v>379</v>
      </c>
      <c r="AY592" s="64"/>
      <c r="CZ592" s="38">
        <f>0.2/1.5*100</f>
        <v>13.333333333333334</v>
      </c>
      <c r="DA592" s="38">
        <f>0.2/1.5*100</f>
        <v>13.333333333333334</v>
      </c>
      <c r="DB592" s="38" t="s">
        <v>526</v>
      </c>
      <c r="DI592" s="38">
        <v>0.26419999999999999</v>
      </c>
      <c r="DJ592" s="38">
        <v>0.28589999999999999</v>
      </c>
      <c r="DK592" s="38" t="s">
        <v>525</v>
      </c>
      <c r="EJ592" s="12"/>
      <c r="EL592" s="15"/>
      <c r="FR592" s="38" t="s">
        <v>809</v>
      </c>
      <c r="FT592" s="38">
        <v>30</v>
      </c>
    </row>
    <row r="593" spans="1:176" s="38" customFormat="1" x14ac:dyDescent="0.25">
      <c r="A593" s="38">
        <v>30</v>
      </c>
      <c r="B593" s="38" t="s">
        <v>518</v>
      </c>
      <c r="C593" s="38" t="s">
        <v>519</v>
      </c>
      <c r="D593" s="38">
        <v>2002</v>
      </c>
      <c r="E593" s="38">
        <v>2000</v>
      </c>
      <c r="F593" s="38" t="s">
        <v>520</v>
      </c>
      <c r="G593" s="38" t="s">
        <v>521</v>
      </c>
      <c r="H593" s="38">
        <f t="shared" si="191"/>
        <v>38.533333333333331</v>
      </c>
      <c r="I593" s="38">
        <f t="shared" si="192"/>
        <v>-121.78333333333333</v>
      </c>
      <c r="J593" s="38">
        <v>18.399999999999999</v>
      </c>
      <c r="N593" s="38">
        <v>483</v>
      </c>
      <c r="P593" s="57">
        <v>4</v>
      </c>
      <c r="Q593" s="57"/>
      <c r="R593" s="57">
        <v>36582</v>
      </c>
      <c r="S593" s="57" t="s">
        <v>1571</v>
      </c>
      <c r="T593" s="57" t="s">
        <v>1571</v>
      </c>
      <c r="U593" s="57" t="s">
        <v>1593</v>
      </c>
      <c r="V593" s="57" t="s">
        <v>1911</v>
      </c>
      <c r="X593" s="38">
        <v>36</v>
      </c>
      <c r="Y593" s="38">
        <v>46</v>
      </c>
      <c r="Z593" s="38" t="s">
        <v>167</v>
      </c>
      <c r="AD593" s="38" t="s">
        <v>1491</v>
      </c>
      <c r="AE593" s="38" t="s">
        <v>1713</v>
      </c>
      <c r="AF593" s="152" t="s">
        <v>666</v>
      </c>
      <c r="AG593" s="38" t="s">
        <v>1768</v>
      </c>
      <c r="AH593" s="155" t="s">
        <v>1793</v>
      </c>
      <c r="AI593" s="38" t="s">
        <v>522</v>
      </c>
      <c r="AJ593" s="38" t="s">
        <v>522</v>
      </c>
      <c r="AK593" s="38" t="s">
        <v>212</v>
      </c>
      <c r="AO593" s="38" t="s">
        <v>418</v>
      </c>
      <c r="AP593" s="38" t="s">
        <v>524</v>
      </c>
      <c r="AQ593" s="38" t="s">
        <v>587</v>
      </c>
      <c r="AR593" s="38" t="s">
        <v>147</v>
      </c>
      <c r="AS593" s="38">
        <v>4</v>
      </c>
      <c r="AT593" s="38">
        <v>4</v>
      </c>
      <c r="AU593" s="38" t="s">
        <v>379</v>
      </c>
      <c r="AY593" s="64"/>
      <c r="CZ593" s="38">
        <f>0.2/1.5*100</f>
        <v>13.333333333333334</v>
      </c>
      <c r="DA593" s="38">
        <f>0.1/1.5*100</f>
        <v>6.666666666666667</v>
      </c>
      <c r="DB593" s="38" t="s">
        <v>526</v>
      </c>
      <c r="DI593" s="38">
        <v>0.26419999999999999</v>
      </c>
      <c r="DJ593" s="38">
        <v>0.29049999999999998</v>
      </c>
      <c r="DK593" s="38" t="s">
        <v>525</v>
      </c>
      <c r="EJ593" s="12"/>
      <c r="EL593" s="15"/>
      <c r="FR593" s="38" t="s">
        <v>809</v>
      </c>
      <c r="FT593" s="38">
        <v>30</v>
      </c>
    </row>
    <row r="594" spans="1:176" s="38" customFormat="1" x14ac:dyDescent="0.25">
      <c r="A594" s="38">
        <v>30</v>
      </c>
      <c r="B594" s="38" t="s">
        <v>518</v>
      </c>
      <c r="C594" s="38" t="s">
        <v>519</v>
      </c>
      <c r="D594" s="38">
        <v>2002</v>
      </c>
      <c r="E594" s="38">
        <v>2000</v>
      </c>
      <c r="F594" s="38" t="s">
        <v>520</v>
      </c>
      <c r="G594" s="38" t="s">
        <v>521</v>
      </c>
      <c r="H594" s="38">
        <f t="shared" si="191"/>
        <v>38.533333333333331</v>
      </c>
      <c r="I594" s="38">
        <f t="shared" si="192"/>
        <v>-121.78333333333333</v>
      </c>
      <c r="J594" s="38">
        <v>18.399999999999999</v>
      </c>
      <c r="N594" s="38">
        <v>483</v>
      </c>
      <c r="P594" s="57">
        <v>4</v>
      </c>
      <c r="Q594" s="57"/>
      <c r="R594" s="57">
        <v>36587</v>
      </c>
      <c r="S594" s="57" t="s">
        <v>1571</v>
      </c>
      <c r="T594" s="57" t="s">
        <v>1571</v>
      </c>
      <c r="U594" s="57" t="s">
        <v>1593</v>
      </c>
      <c r="V594" s="57" t="s">
        <v>1911</v>
      </c>
      <c r="X594" s="38">
        <v>36</v>
      </c>
      <c r="Y594" s="38">
        <v>46</v>
      </c>
      <c r="Z594" s="38" t="s">
        <v>167</v>
      </c>
      <c r="AD594" s="38" t="s">
        <v>1491</v>
      </c>
      <c r="AE594" s="38" t="s">
        <v>1713</v>
      </c>
      <c r="AF594" s="152" t="s">
        <v>666</v>
      </c>
      <c r="AG594" s="38" t="s">
        <v>1768</v>
      </c>
      <c r="AH594" s="155" t="s">
        <v>1793</v>
      </c>
      <c r="AI594" s="38" t="s">
        <v>522</v>
      </c>
      <c r="AJ594" s="38" t="s">
        <v>522</v>
      </c>
      <c r="AK594" s="38" t="s">
        <v>212</v>
      </c>
      <c r="AO594" s="38" t="s">
        <v>418</v>
      </c>
      <c r="AP594" s="38" t="s">
        <v>523</v>
      </c>
      <c r="AQ594" s="38" t="s">
        <v>587</v>
      </c>
      <c r="AR594" s="38" t="s">
        <v>147</v>
      </c>
      <c r="AS594" s="38">
        <v>4</v>
      </c>
      <c r="AT594" s="38">
        <v>4</v>
      </c>
      <c r="AU594" s="38" t="s">
        <v>379</v>
      </c>
      <c r="AY594" s="64"/>
      <c r="CZ594" s="38">
        <f>23.11/40*100</f>
        <v>57.774999999999999</v>
      </c>
      <c r="DA594" s="38">
        <f>1.48/40*100</f>
        <v>3.6999999999999997</v>
      </c>
      <c r="DB594" s="38" t="s">
        <v>526</v>
      </c>
      <c r="DI594" s="38">
        <v>0.26150000000000001</v>
      </c>
      <c r="DJ594" s="38">
        <v>0.28589999999999999</v>
      </c>
      <c r="DK594" s="38" t="s">
        <v>525</v>
      </c>
      <c r="EJ594" s="12"/>
      <c r="EL594" s="15"/>
      <c r="FR594" s="38" t="s">
        <v>809</v>
      </c>
      <c r="FT594" s="38">
        <v>30</v>
      </c>
    </row>
    <row r="595" spans="1:176" s="38" customFormat="1" x14ac:dyDescent="0.25">
      <c r="A595" s="38">
        <v>30</v>
      </c>
      <c r="B595" s="38" t="s">
        <v>518</v>
      </c>
      <c r="C595" s="38" t="s">
        <v>519</v>
      </c>
      <c r="D595" s="38">
        <v>2002</v>
      </c>
      <c r="E595" s="38">
        <v>2000</v>
      </c>
      <c r="F595" s="38" t="s">
        <v>520</v>
      </c>
      <c r="G595" s="38" t="s">
        <v>521</v>
      </c>
      <c r="H595" s="38">
        <f t="shared" si="191"/>
        <v>38.533333333333331</v>
      </c>
      <c r="I595" s="38">
        <f t="shared" si="192"/>
        <v>-121.78333333333333</v>
      </c>
      <c r="J595" s="38">
        <v>18.399999999999999</v>
      </c>
      <c r="N595" s="38">
        <v>483</v>
      </c>
      <c r="P595" s="57">
        <v>4</v>
      </c>
      <c r="Q595" s="57"/>
      <c r="R595" s="57">
        <v>36587</v>
      </c>
      <c r="S595" s="57" t="s">
        <v>1571</v>
      </c>
      <c r="T595" s="57" t="s">
        <v>1571</v>
      </c>
      <c r="U595" s="57" t="s">
        <v>1593</v>
      </c>
      <c r="V595" s="57" t="s">
        <v>1911</v>
      </c>
      <c r="X595" s="38">
        <v>36</v>
      </c>
      <c r="Y595" s="38">
        <v>46</v>
      </c>
      <c r="Z595" s="38" t="s">
        <v>167</v>
      </c>
      <c r="AD595" s="38" t="s">
        <v>1491</v>
      </c>
      <c r="AE595" s="38" t="s">
        <v>1713</v>
      </c>
      <c r="AF595" s="152" t="s">
        <v>666</v>
      </c>
      <c r="AG595" s="38" t="s">
        <v>1768</v>
      </c>
      <c r="AH595" s="155" t="s">
        <v>1793</v>
      </c>
      <c r="AI595" s="38" t="s">
        <v>522</v>
      </c>
      <c r="AJ595" s="38" t="s">
        <v>522</v>
      </c>
      <c r="AK595" s="38" t="s">
        <v>212</v>
      </c>
      <c r="AO595" s="38" t="s">
        <v>418</v>
      </c>
      <c r="AP595" s="38" t="s">
        <v>524</v>
      </c>
      <c r="AQ595" s="38" t="s">
        <v>587</v>
      </c>
      <c r="AR595" s="38" t="s">
        <v>147</v>
      </c>
      <c r="AS595" s="38">
        <v>4</v>
      </c>
      <c r="AT595" s="38">
        <v>4</v>
      </c>
      <c r="AU595" s="38" t="s">
        <v>379</v>
      </c>
      <c r="AY595" s="64"/>
      <c r="CZ595" s="38">
        <f>23.11/40*100</f>
        <v>57.774999999999999</v>
      </c>
      <c r="DA595" s="38">
        <f>2.56/40*100</f>
        <v>6.4</v>
      </c>
      <c r="DB595" s="38" t="s">
        <v>526</v>
      </c>
      <c r="DI595" s="38">
        <v>0.26150000000000001</v>
      </c>
      <c r="DJ595" s="38">
        <v>0.2913</v>
      </c>
      <c r="DK595" s="38" t="s">
        <v>525</v>
      </c>
      <c r="EJ595" s="12"/>
      <c r="EL595" s="15"/>
      <c r="FR595" s="38" t="s">
        <v>809</v>
      </c>
      <c r="FT595" s="38">
        <v>30</v>
      </c>
    </row>
    <row r="596" spans="1:176" s="38" customFormat="1" x14ac:dyDescent="0.25">
      <c r="A596" s="38">
        <v>30</v>
      </c>
      <c r="B596" s="38" t="s">
        <v>518</v>
      </c>
      <c r="C596" s="38" t="s">
        <v>519</v>
      </c>
      <c r="D596" s="38">
        <v>2002</v>
      </c>
      <c r="E596" s="38">
        <v>2000</v>
      </c>
      <c r="F596" s="38" t="s">
        <v>520</v>
      </c>
      <c r="G596" s="38" t="s">
        <v>521</v>
      </c>
      <c r="H596" s="38">
        <f t="shared" si="191"/>
        <v>38.533333333333331</v>
      </c>
      <c r="I596" s="38">
        <f t="shared" si="192"/>
        <v>-121.78333333333333</v>
      </c>
      <c r="J596" s="38">
        <v>18.399999999999999</v>
      </c>
      <c r="N596" s="38">
        <v>483</v>
      </c>
      <c r="P596" s="57">
        <v>4</v>
      </c>
      <c r="Q596" s="57"/>
      <c r="R596" s="57">
        <v>36598</v>
      </c>
      <c r="S596" s="57" t="s">
        <v>1571</v>
      </c>
      <c r="T596" s="57" t="s">
        <v>1571</v>
      </c>
      <c r="U596" s="57" t="s">
        <v>1593</v>
      </c>
      <c r="V596" s="57" t="s">
        <v>1911</v>
      </c>
      <c r="X596" s="38">
        <v>36</v>
      </c>
      <c r="Y596" s="38">
        <v>46</v>
      </c>
      <c r="Z596" s="38" t="s">
        <v>167</v>
      </c>
      <c r="AD596" s="38" t="s">
        <v>1491</v>
      </c>
      <c r="AE596" s="38" t="s">
        <v>1713</v>
      </c>
      <c r="AF596" s="152" t="s">
        <v>666</v>
      </c>
      <c r="AG596" s="38" t="s">
        <v>1768</v>
      </c>
      <c r="AH596" s="155" t="s">
        <v>1793</v>
      </c>
      <c r="AI596" s="38" t="s">
        <v>522</v>
      </c>
      <c r="AJ596" s="38" t="s">
        <v>522</v>
      </c>
      <c r="AK596" s="38" t="s">
        <v>212</v>
      </c>
      <c r="AO596" s="38" t="s">
        <v>418</v>
      </c>
      <c r="AP596" s="38" t="s">
        <v>523</v>
      </c>
      <c r="AQ596" s="38" t="s">
        <v>587</v>
      </c>
      <c r="AR596" s="38" t="s">
        <v>147</v>
      </c>
      <c r="AS596" s="38">
        <v>4</v>
      </c>
      <c r="AT596" s="38">
        <v>4</v>
      </c>
      <c r="AU596" s="38" t="s">
        <v>379</v>
      </c>
      <c r="AY596" s="64"/>
      <c r="CZ596" s="38">
        <f>30.62/51.6*100</f>
        <v>59.34108527131783</v>
      </c>
      <c r="DA596" s="38">
        <f>4.93/51.6*100</f>
        <v>9.5542635658914712</v>
      </c>
      <c r="DB596" s="38" t="s">
        <v>526</v>
      </c>
      <c r="DI596" s="38">
        <v>0.24779999999999999</v>
      </c>
      <c r="DJ596" s="38">
        <v>0.25690000000000002</v>
      </c>
      <c r="DK596" s="38" t="s">
        <v>525</v>
      </c>
      <c r="EJ596" s="12"/>
      <c r="EL596" s="15"/>
      <c r="FR596" s="38" t="s">
        <v>809</v>
      </c>
      <c r="FT596" s="38">
        <v>30</v>
      </c>
    </row>
    <row r="597" spans="1:176" s="38" customFormat="1" x14ac:dyDescent="0.25">
      <c r="A597" s="38">
        <v>30</v>
      </c>
      <c r="B597" s="38" t="s">
        <v>518</v>
      </c>
      <c r="C597" s="38" t="s">
        <v>519</v>
      </c>
      <c r="D597" s="38">
        <v>2002</v>
      </c>
      <c r="E597" s="38">
        <v>2000</v>
      </c>
      <c r="F597" s="38" t="s">
        <v>520</v>
      </c>
      <c r="G597" s="38" t="s">
        <v>521</v>
      </c>
      <c r="H597" s="38">
        <f t="shared" si="191"/>
        <v>38.533333333333331</v>
      </c>
      <c r="I597" s="38">
        <f t="shared" si="192"/>
        <v>-121.78333333333333</v>
      </c>
      <c r="J597" s="38">
        <v>18.399999999999999</v>
      </c>
      <c r="N597" s="38">
        <v>483</v>
      </c>
      <c r="P597" s="57">
        <v>4</v>
      </c>
      <c r="Q597" s="57"/>
      <c r="R597" s="57">
        <v>36598</v>
      </c>
      <c r="S597" s="57" t="s">
        <v>1571</v>
      </c>
      <c r="T597" s="57" t="s">
        <v>1571</v>
      </c>
      <c r="U597" s="57" t="s">
        <v>1593</v>
      </c>
      <c r="V597" s="57" t="s">
        <v>1911</v>
      </c>
      <c r="X597" s="38">
        <v>36</v>
      </c>
      <c r="Y597" s="38">
        <v>46</v>
      </c>
      <c r="Z597" s="38" t="s">
        <v>167</v>
      </c>
      <c r="AD597" s="38" t="s">
        <v>1491</v>
      </c>
      <c r="AE597" s="38" t="s">
        <v>1713</v>
      </c>
      <c r="AF597" s="152" t="s">
        <v>666</v>
      </c>
      <c r="AG597" s="38" t="s">
        <v>1768</v>
      </c>
      <c r="AH597" s="155" t="s">
        <v>1793</v>
      </c>
      <c r="AI597" s="38" t="s">
        <v>522</v>
      </c>
      <c r="AJ597" s="38" t="s">
        <v>522</v>
      </c>
      <c r="AK597" s="38" t="s">
        <v>212</v>
      </c>
      <c r="AO597" s="38" t="s">
        <v>418</v>
      </c>
      <c r="AP597" s="38" t="s">
        <v>524</v>
      </c>
      <c r="AQ597" s="38" t="s">
        <v>587</v>
      </c>
      <c r="AR597" s="38" t="s">
        <v>147</v>
      </c>
      <c r="AS597" s="38">
        <v>4</v>
      </c>
      <c r="AT597" s="38">
        <v>4</v>
      </c>
      <c r="AU597" s="38" t="s">
        <v>379</v>
      </c>
      <c r="AY597" s="64"/>
      <c r="CZ597" s="38">
        <f>30.62/51.6*100</f>
        <v>59.34108527131783</v>
      </c>
      <c r="DA597" s="38">
        <f>6.03/51.6*100</f>
        <v>11.686046511627907</v>
      </c>
      <c r="DB597" s="38" t="s">
        <v>526</v>
      </c>
      <c r="DI597" s="38">
        <v>0.24779999999999999</v>
      </c>
      <c r="DJ597" s="38">
        <v>0.2641</v>
      </c>
      <c r="DK597" s="38" t="s">
        <v>525</v>
      </c>
      <c r="EJ597" s="12"/>
      <c r="EL597" s="15"/>
      <c r="FR597" s="38" t="s">
        <v>809</v>
      </c>
      <c r="FT597" s="38">
        <v>30</v>
      </c>
    </row>
    <row r="598" spans="1:176" s="23" customFormat="1" x14ac:dyDescent="0.25">
      <c r="A598" s="23">
        <v>30</v>
      </c>
      <c r="B598" s="23" t="s">
        <v>518</v>
      </c>
      <c r="C598" s="23" t="s">
        <v>519</v>
      </c>
      <c r="D598" s="23">
        <v>2002</v>
      </c>
      <c r="E598" s="23">
        <v>1998</v>
      </c>
      <c r="F598" s="23" t="s">
        <v>520</v>
      </c>
      <c r="G598" s="23" t="s">
        <v>521</v>
      </c>
      <c r="H598" s="23">
        <f t="shared" ref="H598:H629" si="193">38+32/60</f>
        <v>38.533333333333331</v>
      </c>
      <c r="I598" s="23">
        <f t="shared" ref="I598:I629" si="194">-121-47/60</f>
        <v>-121.78333333333333</v>
      </c>
      <c r="J598" s="23">
        <v>18.399999999999999</v>
      </c>
      <c r="N598" s="23">
        <v>483</v>
      </c>
      <c r="P598" s="53">
        <v>2</v>
      </c>
      <c r="Q598" s="53"/>
      <c r="R598" s="53">
        <v>36145</v>
      </c>
      <c r="S598" s="53" t="s">
        <v>1572</v>
      </c>
      <c r="T598" s="53" t="s">
        <v>1571</v>
      </c>
      <c r="U598" s="53" t="s">
        <v>1593</v>
      </c>
      <c r="V598" s="53" t="s">
        <v>1912</v>
      </c>
      <c r="X598" s="23">
        <v>36</v>
      </c>
      <c r="Y598" s="23">
        <v>46</v>
      </c>
      <c r="Z598" s="23" t="s">
        <v>167</v>
      </c>
      <c r="AD598" s="23" t="s">
        <v>1491</v>
      </c>
      <c r="AE598" s="23" t="s">
        <v>1713</v>
      </c>
      <c r="AF598" s="152" t="s">
        <v>666</v>
      </c>
      <c r="AG598" s="23" t="s">
        <v>1768</v>
      </c>
      <c r="AH598" s="155" t="s">
        <v>1793</v>
      </c>
      <c r="AI598" s="23" t="s">
        <v>522</v>
      </c>
      <c r="AJ598" s="23" t="s">
        <v>522</v>
      </c>
      <c r="AK598" s="23" t="s">
        <v>212</v>
      </c>
      <c r="AO598" s="23" t="s">
        <v>418</v>
      </c>
      <c r="AP598" s="23" t="s">
        <v>523</v>
      </c>
      <c r="AQ598" s="23" t="s">
        <v>587</v>
      </c>
      <c r="AR598" s="23" t="s">
        <v>147</v>
      </c>
      <c r="AS598" s="23">
        <v>4</v>
      </c>
      <c r="AT598" s="23">
        <v>4</v>
      </c>
      <c r="AU598" s="23" t="s">
        <v>379</v>
      </c>
      <c r="AY598" s="64"/>
      <c r="CZ598" s="23">
        <f>3.18/9.4*100</f>
        <v>33.829787234042556</v>
      </c>
      <c r="DA598" s="23">
        <f>0.69/9.4*100</f>
        <v>7.3404255319148932</v>
      </c>
      <c r="DB598" s="23" t="s">
        <v>526</v>
      </c>
      <c r="DI598" s="23">
        <v>0.11459999999999999</v>
      </c>
      <c r="DJ598" s="23">
        <v>0.11269999999999999</v>
      </c>
      <c r="DK598" s="23" t="s">
        <v>525</v>
      </c>
      <c r="EJ598" s="12"/>
      <c r="EL598" s="15"/>
      <c r="FR598" s="23" t="s">
        <v>809</v>
      </c>
      <c r="FT598" s="23">
        <v>30</v>
      </c>
    </row>
    <row r="599" spans="1:176" s="23" customFormat="1" x14ac:dyDescent="0.25">
      <c r="A599" s="23">
        <v>30</v>
      </c>
      <c r="B599" s="23" t="s">
        <v>518</v>
      </c>
      <c r="C599" s="23" t="s">
        <v>519</v>
      </c>
      <c r="D599" s="23">
        <v>2002</v>
      </c>
      <c r="E599" s="23">
        <v>1998</v>
      </c>
      <c r="F599" s="23" t="s">
        <v>520</v>
      </c>
      <c r="G599" s="23" t="s">
        <v>521</v>
      </c>
      <c r="H599" s="23">
        <f t="shared" si="193"/>
        <v>38.533333333333331</v>
      </c>
      <c r="I599" s="23">
        <f t="shared" si="194"/>
        <v>-121.78333333333333</v>
      </c>
      <c r="J599" s="23">
        <v>18.399999999999999</v>
      </c>
      <c r="N599" s="23">
        <v>483</v>
      </c>
      <c r="P599" s="53">
        <v>2</v>
      </c>
      <c r="Q599" s="53"/>
      <c r="R599" s="53">
        <v>36145</v>
      </c>
      <c r="S599" s="53" t="s">
        <v>1572</v>
      </c>
      <c r="T599" s="53" t="s">
        <v>1571</v>
      </c>
      <c r="U599" s="53" t="s">
        <v>1593</v>
      </c>
      <c r="V599" s="53" t="s">
        <v>1912</v>
      </c>
      <c r="X599" s="23">
        <v>36</v>
      </c>
      <c r="Y599" s="23">
        <v>46</v>
      </c>
      <c r="Z599" s="23" t="s">
        <v>167</v>
      </c>
      <c r="AD599" s="23" t="s">
        <v>1491</v>
      </c>
      <c r="AE599" s="23" t="s">
        <v>1713</v>
      </c>
      <c r="AF599" s="152" t="s">
        <v>666</v>
      </c>
      <c r="AG599" s="23" t="s">
        <v>1768</v>
      </c>
      <c r="AH599" s="155" t="s">
        <v>1793</v>
      </c>
      <c r="AI599" s="23" t="s">
        <v>522</v>
      </c>
      <c r="AJ599" s="23" t="s">
        <v>522</v>
      </c>
      <c r="AK599" s="23" t="s">
        <v>212</v>
      </c>
      <c r="AO599" s="23" t="s">
        <v>418</v>
      </c>
      <c r="AP599" s="23" t="s">
        <v>524</v>
      </c>
      <c r="AQ599" s="23" t="s">
        <v>587</v>
      </c>
      <c r="AR599" s="23" t="s">
        <v>147</v>
      </c>
      <c r="AS599" s="23">
        <v>4</v>
      </c>
      <c r="AT599" s="23">
        <v>4</v>
      </c>
      <c r="AU599" s="23" t="s">
        <v>379</v>
      </c>
      <c r="AY599" s="64"/>
      <c r="CZ599" s="23">
        <f>3.18/9.4*100</f>
        <v>33.829787234042556</v>
      </c>
      <c r="DA599" s="23">
        <f>0.22/9.4*100</f>
        <v>2.3404255319148937</v>
      </c>
      <c r="DB599" s="23" t="s">
        <v>526</v>
      </c>
      <c r="DI599" s="23">
        <v>0.11459999999999999</v>
      </c>
      <c r="DJ599" s="23">
        <v>0.114</v>
      </c>
      <c r="DK599" s="23" t="s">
        <v>525</v>
      </c>
      <c r="EJ599" s="12"/>
      <c r="EL599" s="15"/>
      <c r="FR599" s="23" t="s">
        <v>809</v>
      </c>
      <c r="FT599" s="23">
        <v>30</v>
      </c>
    </row>
    <row r="600" spans="1:176" s="23" customFormat="1" x14ac:dyDescent="0.25">
      <c r="A600" s="23">
        <v>30</v>
      </c>
      <c r="B600" s="23" t="s">
        <v>518</v>
      </c>
      <c r="C600" s="23" t="s">
        <v>519</v>
      </c>
      <c r="D600" s="23">
        <v>2002</v>
      </c>
      <c r="E600" s="23">
        <v>1999</v>
      </c>
      <c r="F600" s="23" t="s">
        <v>520</v>
      </c>
      <c r="G600" s="23" t="s">
        <v>521</v>
      </c>
      <c r="H600" s="23">
        <f t="shared" si="193"/>
        <v>38.533333333333331</v>
      </c>
      <c r="I600" s="23">
        <f t="shared" si="194"/>
        <v>-121.78333333333333</v>
      </c>
      <c r="J600" s="23">
        <v>18.399999999999999</v>
      </c>
      <c r="N600" s="23">
        <v>483</v>
      </c>
      <c r="P600" s="53">
        <v>3</v>
      </c>
      <c r="Q600" s="53"/>
      <c r="R600" s="53">
        <v>36170</v>
      </c>
      <c r="S600" s="53" t="s">
        <v>1572</v>
      </c>
      <c r="T600" s="53" t="s">
        <v>1571</v>
      </c>
      <c r="U600" s="53" t="s">
        <v>1593</v>
      </c>
      <c r="V600" s="53" t="s">
        <v>1912</v>
      </c>
      <c r="X600" s="23">
        <v>36</v>
      </c>
      <c r="Y600" s="23">
        <v>46</v>
      </c>
      <c r="Z600" s="23" t="s">
        <v>167</v>
      </c>
      <c r="AD600" s="23" t="s">
        <v>1491</v>
      </c>
      <c r="AE600" s="23" t="s">
        <v>1713</v>
      </c>
      <c r="AF600" s="152" t="s">
        <v>666</v>
      </c>
      <c r="AG600" s="23" t="s">
        <v>1768</v>
      </c>
      <c r="AH600" s="155" t="s">
        <v>1793</v>
      </c>
      <c r="AI600" s="23" t="s">
        <v>522</v>
      </c>
      <c r="AJ600" s="23" t="s">
        <v>522</v>
      </c>
      <c r="AK600" s="23" t="s">
        <v>212</v>
      </c>
      <c r="AO600" s="23" t="s">
        <v>418</v>
      </c>
      <c r="AP600" s="23" t="s">
        <v>523</v>
      </c>
      <c r="AQ600" s="23" t="s">
        <v>587</v>
      </c>
      <c r="AR600" s="23" t="s">
        <v>147</v>
      </c>
      <c r="AS600" s="23">
        <v>4</v>
      </c>
      <c r="AT600" s="23">
        <v>4</v>
      </c>
      <c r="AU600" s="23" t="s">
        <v>379</v>
      </c>
      <c r="AY600" s="64"/>
      <c r="CZ600" s="23">
        <f>0.61/2.1*100</f>
        <v>29.047619047619044</v>
      </c>
      <c r="DA600" s="23">
        <f>0.3/2.1*100</f>
        <v>14.285714285714285</v>
      </c>
      <c r="DB600" s="23" t="s">
        <v>526</v>
      </c>
      <c r="DI600" s="23">
        <v>0.1154</v>
      </c>
      <c r="DJ600" s="23">
        <v>0.15540000000000001</v>
      </c>
      <c r="DK600" s="23" t="s">
        <v>525</v>
      </c>
      <c r="EJ600" s="12"/>
      <c r="EL600" s="15"/>
      <c r="FR600" s="23" t="s">
        <v>809</v>
      </c>
      <c r="FT600" s="23">
        <v>30</v>
      </c>
    </row>
    <row r="601" spans="1:176" s="23" customFormat="1" x14ac:dyDescent="0.25">
      <c r="A601" s="23">
        <v>30</v>
      </c>
      <c r="B601" s="23" t="s">
        <v>518</v>
      </c>
      <c r="C601" s="23" t="s">
        <v>519</v>
      </c>
      <c r="D601" s="23">
        <v>2002</v>
      </c>
      <c r="E601" s="23">
        <v>1999</v>
      </c>
      <c r="F601" s="23" t="s">
        <v>520</v>
      </c>
      <c r="G601" s="23" t="s">
        <v>521</v>
      </c>
      <c r="H601" s="23">
        <f t="shared" si="193"/>
        <v>38.533333333333331</v>
      </c>
      <c r="I601" s="23">
        <f t="shared" si="194"/>
        <v>-121.78333333333333</v>
      </c>
      <c r="J601" s="23">
        <v>18.399999999999999</v>
      </c>
      <c r="N601" s="23">
        <v>483</v>
      </c>
      <c r="P601" s="53">
        <v>3</v>
      </c>
      <c r="Q601" s="53"/>
      <c r="R601" s="53">
        <v>36170</v>
      </c>
      <c r="S601" s="53" t="s">
        <v>1572</v>
      </c>
      <c r="T601" s="53" t="s">
        <v>1571</v>
      </c>
      <c r="U601" s="53" t="s">
        <v>1593</v>
      </c>
      <c r="V601" s="53" t="s">
        <v>1912</v>
      </c>
      <c r="X601" s="23">
        <v>36</v>
      </c>
      <c r="Y601" s="23">
        <v>46</v>
      </c>
      <c r="Z601" s="23" t="s">
        <v>167</v>
      </c>
      <c r="AD601" s="23" t="s">
        <v>1491</v>
      </c>
      <c r="AE601" s="23" t="s">
        <v>1713</v>
      </c>
      <c r="AF601" s="152" t="s">
        <v>666</v>
      </c>
      <c r="AG601" s="23" t="s">
        <v>1768</v>
      </c>
      <c r="AH601" s="155" t="s">
        <v>1793</v>
      </c>
      <c r="AI601" s="23" t="s">
        <v>522</v>
      </c>
      <c r="AJ601" s="23" t="s">
        <v>522</v>
      </c>
      <c r="AK601" s="23" t="s">
        <v>212</v>
      </c>
      <c r="AO601" s="23" t="s">
        <v>418</v>
      </c>
      <c r="AP601" s="23" t="s">
        <v>524</v>
      </c>
      <c r="AQ601" s="23" t="s">
        <v>587</v>
      </c>
      <c r="AR601" s="23" t="s">
        <v>147</v>
      </c>
      <c r="AS601" s="23">
        <v>4</v>
      </c>
      <c r="AT601" s="23">
        <v>4</v>
      </c>
      <c r="AU601" s="23" t="s">
        <v>379</v>
      </c>
      <c r="AY601" s="64"/>
      <c r="CZ601" s="23">
        <f>0.61/2.1*100</f>
        <v>29.047619047619044</v>
      </c>
      <c r="DA601" s="23">
        <f>0.34/2.1*100</f>
        <v>16.19047619047619</v>
      </c>
      <c r="DB601" s="23" t="s">
        <v>526</v>
      </c>
      <c r="DI601" s="23">
        <v>0.1154</v>
      </c>
      <c r="DJ601" s="23">
        <v>0.15540000000000001</v>
      </c>
      <c r="DK601" s="23" t="s">
        <v>525</v>
      </c>
      <c r="EJ601" s="12"/>
      <c r="EL601" s="15"/>
      <c r="FR601" s="23" t="s">
        <v>809</v>
      </c>
      <c r="FT601" s="23">
        <v>30</v>
      </c>
    </row>
    <row r="602" spans="1:176" s="23" customFormat="1" x14ac:dyDescent="0.25">
      <c r="A602" s="23">
        <v>30</v>
      </c>
      <c r="B602" s="23" t="s">
        <v>518</v>
      </c>
      <c r="C602" s="23" t="s">
        <v>519</v>
      </c>
      <c r="D602" s="23">
        <v>2002</v>
      </c>
      <c r="E602" s="23">
        <v>1999</v>
      </c>
      <c r="F602" s="23" t="s">
        <v>520</v>
      </c>
      <c r="G602" s="23" t="s">
        <v>521</v>
      </c>
      <c r="H602" s="23">
        <f t="shared" si="193"/>
        <v>38.533333333333331</v>
      </c>
      <c r="I602" s="23">
        <f t="shared" si="194"/>
        <v>-121.78333333333333</v>
      </c>
      <c r="J602" s="23">
        <v>18.399999999999999</v>
      </c>
      <c r="N602" s="23">
        <v>483</v>
      </c>
      <c r="P602" s="53">
        <v>3</v>
      </c>
      <c r="Q602" s="53"/>
      <c r="R602" s="53">
        <v>36187</v>
      </c>
      <c r="S602" s="53" t="s">
        <v>1572</v>
      </c>
      <c r="T602" s="53" t="s">
        <v>1571</v>
      </c>
      <c r="U602" s="53" t="s">
        <v>1593</v>
      </c>
      <c r="V602" s="53" t="s">
        <v>1912</v>
      </c>
      <c r="X602" s="23">
        <v>36</v>
      </c>
      <c r="Y602" s="23">
        <v>46</v>
      </c>
      <c r="Z602" s="23" t="s">
        <v>167</v>
      </c>
      <c r="AD602" s="23" t="s">
        <v>1491</v>
      </c>
      <c r="AE602" s="23" t="s">
        <v>1713</v>
      </c>
      <c r="AF602" s="152" t="s">
        <v>666</v>
      </c>
      <c r="AG602" s="23" t="s">
        <v>1768</v>
      </c>
      <c r="AH602" s="155" t="s">
        <v>1793</v>
      </c>
      <c r="AI602" s="23" t="s">
        <v>522</v>
      </c>
      <c r="AJ602" s="23" t="s">
        <v>522</v>
      </c>
      <c r="AK602" s="23" t="s">
        <v>212</v>
      </c>
      <c r="AO602" s="23" t="s">
        <v>418</v>
      </c>
      <c r="AP602" s="23" t="s">
        <v>523</v>
      </c>
      <c r="AQ602" s="23" t="s">
        <v>587</v>
      </c>
      <c r="AR602" s="23" t="s">
        <v>147</v>
      </c>
      <c r="AS602" s="23">
        <v>4</v>
      </c>
      <c r="AT602" s="23">
        <v>4</v>
      </c>
      <c r="AU602" s="23" t="s">
        <v>379</v>
      </c>
      <c r="AY602" s="64"/>
      <c r="CZ602" s="23">
        <f>10.71/19.8*100</f>
        <v>54.090909090909086</v>
      </c>
      <c r="DA602" s="23">
        <f>3.42/19.8*100</f>
        <v>17.272727272727273</v>
      </c>
      <c r="DB602" s="23" t="s">
        <v>526</v>
      </c>
      <c r="DI602" s="23">
        <v>0.11890000000000001</v>
      </c>
      <c r="DJ602" s="23">
        <v>0.1174</v>
      </c>
      <c r="DK602" s="23" t="s">
        <v>525</v>
      </c>
      <c r="EJ602" s="12"/>
      <c r="EL602" s="15"/>
      <c r="FR602" s="23" t="s">
        <v>809</v>
      </c>
      <c r="FT602" s="23">
        <v>30</v>
      </c>
    </row>
    <row r="603" spans="1:176" s="23" customFormat="1" x14ac:dyDescent="0.25">
      <c r="A603" s="23">
        <v>30</v>
      </c>
      <c r="B603" s="23" t="s">
        <v>518</v>
      </c>
      <c r="C603" s="23" t="s">
        <v>519</v>
      </c>
      <c r="D603" s="23">
        <v>2002</v>
      </c>
      <c r="E603" s="23">
        <v>1999</v>
      </c>
      <c r="F603" s="23" t="s">
        <v>520</v>
      </c>
      <c r="G603" s="23" t="s">
        <v>521</v>
      </c>
      <c r="H603" s="23">
        <f t="shared" si="193"/>
        <v>38.533333333333331</v>
      </c>
      <c r="I603" s="23">
        <f t="shared" si="194"/>
        <v>-121.78333333333333</v>
      </c>
      <c r="J603" s="23">
        <v>18.399999999999999</v>
      </c>
      <c r="N603" s="23">
        <v>483</v>
      </c>
      <c r="P603" s="53">
        <v>3</v>
      </c>
      <c r="Q603" s="53"/>
      <c r="R603" s="53">
        <v>36187</v>
      </c>
      <c r="S603" s="53" t="s">
        <v>1572</v>
      </c>
      <c r="T603" s="53" t="s">
        <v>1571</v>
      </c>
      <c r="U603" s="53" t="s">
        <v>1593</v>
      </c>
      <c r="V603" s="53" t="s">
        <v>1912</v>
      </c>
      <c r="X603" s="23">
        <v>36</v>
      </c>
      <c r="Y603" s="23">
        <v>46</v>
      </c>
      <c r="Z603" s="23" t="s">
        <v>167</v>
      </c>
      <c r="AD603" s="23" t="s">
        <v>1491</v>
      </c>
      <c r="AE603" s="23" t="s">
        <v>1713</v>
      </c>
      <c r="AF603" s="152" t="s">
        <v>666</v>
      </c>
      <c r="AG603" s="23" t="s">
        <v>1768</v>
      </c>
      <c r="AH603" s="155" t="s">
        <v>1793</v>
      </c>
      <c r="AI603" s="23" t="s">
        <v>522</v>
      </c>
      <c r="AJ603" s="23" t="s">
        <v>522</v>
      </c>
      <c r="AK603" s="23" t="s">
        <v>212</v>
      </c>
      <c r="AO603" s="23" t="s">
        <v>418</v>
      </c>
      <c r="AP603" s="23" t="s">
        <v>524</v>
      </c>
      <c r="AQ603" s="23" t="s">
        <v>587</v>
      </c>
      <c r="AR603" s="23" t="s">
        <v>147</v>
      </c>
      <c r="AS603" s="23">
        <v>4</v>
      </c>
      <c r="AT603" s="23">
        <v>4</v>
      </c>
      <c r="AU603" s="23" t="s">
        <v>379</v>
      </c>
      <c r="AY603" s="64"/>
      <c r="CZ603" s="23">
        <f>10.71/19.8*100</f>
        <v>54.090909090909086</v>
      </c>
      <c r="DA603" s="23">
        <f>2.95/19.8*100</f>
        <v>14.8989898989899</v>
      </c>
      <c r="DB603" s="23" t="s">
        <v>526</v>
      </c>
      <c r="DI603" s="23">
        <v>0.11890000000000001</v>
      </c>
      <c r="DJ603" s="23">
        <v>0.1174</v>
      </c>
      <c r="DK603" s="23" t="s">
        <v>525</v>
      </c>
      <c r="EJ603" s="12"/>
      <c r="EL603" s="15"/>
      <c r="FR603" s="23" t="s">
        <v>809</v>
      </c>
      <c r="FT603" s="23">
        <v>30</v>
      </c>
    </row>
    <row r="604" spans="1:176" s="23" customFormat="1" x14ac:dyDescent="0.25">
      <c r="A604" s="23">
        <v>30</v>
      </c>
      <c r="B604" s="23" t="s">
        <v>518</v>
      </c>
      <c r="C604" s="23" t="s">
        <v>519</v>
      </c>
      <c r="D604" s="23">
        <v>2002</v>
      </c>
      <c r="E604" s="23">
        <v>1999</v>
      </c>
      <c r="F604" s="23" t="s">
        <v>520</v>
      </c>
      <c r="G604" s="23" t="s">
        <v>521</v>
      </c>
      <c r="H604" s="23">
        <f t="shared" si="193"/>
        <v>38.533333333333331</v>
      </c>
      <c r="I604" s="23">
        <f t="shared" si="194"/>
        <v>-121.78333333333333</v>
      </c>
      <c r="J604" s="23">
        <v>18.399999999999999</v>
      </c>
      <c r="N604" s="23">
        <v>483</v>
      </c>
      <c r="P604" s="53">
        <v>3</v>
      </c>
      <c r="Q604" s="53"/>
      <c r="R604" s="53">
        <v>36198</v>
      </c>
      <c r="S604" s="53" t="s">
        <v>1572</v>
      </c>
      <c r="T604" s="53" t="s">
        <v>1571</v>
      </c>
      <c r="U604" s="53" t="s">
        <v>1593</v>
      </c>
      <c r="V604" s="53" t="s">
        <v>1912</v>
      </c>
      <c r="X604" s="23">
        <v>36</v>
      </c>
      <c r="Y604" s="23">
        <v>46</v>
      </c>
      <c r="Z604" s="23" t="s">
        <v>167</v>
      </c>
      <c r="AD604" s="23" t="s">
        <v>1491</v>
      </c>
      <c r="AE604" s="23" t="s">
        <v>1713</v>
      </c>
      <c r="AF604" s="152" t="s">
        <v>666</v>
      </c>
      <c r="AG604" s="23" t="s">
        <v>1768</v>
      </c>
      <c r="AH604" s="155" t="s">
        <v>1793</v>
      </c>
      <c r="AI604" s="23" t="s">
        <v>522</v>
      </c>
      <c r="AJ604" s="23" t="s">
        <v>522</v>
      </c>
      <c r="AK604" s="23" t="s">
        <v>212</v>
      </c>
      <c r="AO604" s="23" t="s">
        <v>418</v>
      </c>
      <c r="AP604" s="23" t="s">
        <v>523</v>
      </c>
      <c r="AQ604" s="23" t="s">
        <v>587</v>
      </c>
      <c r="AR604" s="23" t="s">
        <v>147</v>
      </c>
      <c r="AS604" s="23">
        <v>4</v>
      </c>
      <c r="AT604" s="23">
        <v>4</v>
      </c>
      <c r="AU604" s="23" t="s">
        <v>379</v>
      </c>
      <c r="AY604" s="64"/>
      <c r="CZ604" s="23">
        <f>8.71/15.5*100</f>
        <v>56.193548387096783</v>
      </c>
      <c r="DA604" s="23">
        <f>0.93/15.5*100</f>
        <v>6.0000000000000009</v>
      </c>
      <c r="DB604" s="23" t="s">
        <v>526</v>
      </c>
      <c r="DI604" s="23">
        <v>0.16980000000000001</v>
      </c>
      <c r="DJ604" s="23">
        <v>0.1479</v>
      </c>
      <c r="DK604" s="23" t="s">
        <v>525</v>
      </c>
      <c r="EJ604" s="12"/>
      <c r="EL604" s="15"/>
      <c r="FR604" s="23" t="s">
        <v>809</v>
      </c>
      <c r="FT604" s="23">
        <v>30</v>
      </c>
    </row>
    <row r="605" spans="1:176" s="23" customFormat="1" x14ac:dyDescent="0.25">
      <c r="A605" s="23">
        <v>30</v>
      </c>
      <c r="B605" s="23" t="s">
        <v>518</v>
      </c>
      <c r="C605" s="23" t="s">
        <v>519</v>
      </c>
      <c r="D605" s="23">
        <v>2002</v>
      </c>
      <c r="E605" s="23">
        <v>1999</v>
      </c>
      <c r="F605" s="23" t="s">
        <v>520</v>
      </c>
      <c r="G605" s="23" t="s">
        <v>521</v>
      </c>
      <c r="H605" s="23">
        <f t="shared" si="193"/>
        <v>38.533333333333331</v>
      </c>
      <c r="I605" s="23">
        <f t="shared" si="194"/>
        <v>-121.78333333333333</v>
      </c>
      <c r="J605" s="23">
        <v>18.399999999999999</v>
      </c>
      <c r="N605" s="23">
        <v>483</v>
      </c>
      <c r="P605" s="53">
        <v>3</v>
      </c>
      <c r="Q605" s="53"/>
      <c r="R605" s="53">
        <v>36198</v>
      </c>
      <c r="S605" s="53" t="s">
        <v>1572</v>
      </c>
      <c r="T605" s="53" t="s">
        <v>1571</v>
      </c>
      <c r="U605" s="53" t="s">
        <v>1593</v>
      </c>
      <c r="V605" s="53" t="s">
        <v>1912</v>
      </c>
      <c r="X605" s="23">
        <v>36</v>
      </c>
      <c r="Y605" s="23">
        <v>46</v>
      </c>
      <c r="Z605" s="23" t="s">
        <v>167</v>
      </c>
      <c r="AD605" s="23" t="s">
        <v>1491</v>
      </c>
      <c r="AE605" s="23" t="s">
        <v>1713</v>
      </c>
      <c r="AF605" s="152" t="s">
        <v>666</v>
      </c>
      <c r="AG605" s="23" t="s">
        <v>1768</v>
      </c>
      <c r="AH605" s="155" t="s">
        <v>1793</v>
      </c>
      <c r="AI605" s="23" t="s">
        <v>522</v>
      </c>
      <c r="AJ605" s="23" t="s">
        <v>522</v>
      </c>
      <c r="AK605" s="23" t="s">
        <v>212</v>
      </c>
      <c r="AO605" s="23" t="s">
        <v>418</v>
      </c>
      <c r="AP605" s="23" t="s">
        <v>524</v>
      </c>
      <c r="AQ605" s="23" t="s">
        <v>587</v>
      </c>
      <c r="AR605" s="23" t="s">
        <v>147</v>
      </c>
      <c r="AS605" s="23">
        <v>4</v>
      </c>
      <c r="AT605" s="23">
        <v>4</v>
      </c>
      <c r="AU605" s="23" t="s">
        <v>379</v>
      </c>
      <c r="AY605" s="64"/>
      <c r="CZ605" s="23">
        <f>8.71/15.5*100</f>
        <v>56.193548387096783</v>
      </c>
      <c r="DA605" s="23">
        <f>0.67/15.5*100</f>
        <v>4.3225806451612909</v>
      </c>
      <c r="DB605" s="23" t="s">
        <v>526</v>
      </c>
      <c r="DI605" s="23">
        <v>0.16980000000000001</v>
      </c>
      <c r="DJ605" s="23">
        <v>0.13600000000000001</v>
      </c>
      <c r="DK605" s="23" t="s">
        <v>525</v>
      </c>
      <c r="EJ605" s="12"/>
      <c r="EL605" s="15"/>
      <c r="FR605" s="23" t="s">
        <v>809</v>
      </c>
      <c r="FT605" s="23">
        <v>30</v>
      </c>
    </row>
    <row r="606" spans="1:176" s="23" customFormat="1" x14ac:dyDescent="0.25">
      <c r="A606" s="23">
        <v>30</v>
      </c>
      <c r="B606" s="23" t="s">
        <v>518</v>
      </c>
      <c r="C606" s="23" t="s">
        <v>519</v>
      </c>
      <c r="D606" s="23">
        <v>2002</v>
      </c>
      <c r="E606" s="23">
        <v>1999</v>
      </c>
      <c r="F606" s="23" t="s">
        <v>520</v>
      </c>
      <c r="G606" s="23" t="s">
        <v>521</v>
      </c>
      <c r="H606" s="23">
        <f t="shared" si="193"/>
        <v>38.533333333333331</v>
      </c>
      <c r="I606" s="23">
        <f t="shared" si="194"/>
        <v>-121.78333333333333</v>
      </c>
      <c r="J606" s="23">
        <v>18.399999999999999</v>
      </c>
      <c r="N606" s="23">
        <v>483</v>
      </c>
      <c r="P606" s="53">
        <v>3</v>
      </c>
      <c r="Q606" s="53"/>
      <c r="R606" s="53">
        <v>36232</v>
      </c>
      <c r="S606" s="53" t="s">
        <v>1572</v>
      </c>
      <c r="T606" s="53" t="s">
        <v>1571</v>
      </c>
      <c r="U606" s="53" t="s">
        <v>1593</v>
      </c>
      <c r="V606" s="53" t="s">
        <v>1912</v>
      </c>
      <c r="X606" s="23">
        <v>36</v>
      </c>
      <c r="Y606" s="23">
        <v>46</v>
      </c>
      <c r="Z606" s="23" t="s">
        <v>167</v>
      </c>
      <c r="AD606" s="23" t="s">
        <v>1491</v>
      </c>
      <c r="AE606" s="23" t="s">
        <v>1713</v>
      </c>
      <c r="AF606" s="152" t="s">
        <v>666</v>
      </c>
      <c r="AG606" s="23" t="s">
        <v>1768</v>
      </c>
      <c r="AH606" s="155" t="s">
        <v>1793</v>
      </c>
      <c r="AI606" s="23" t="s">
        <v>522</v>
      </c>
      <c r="AJ606" s="23" t="s">
        <v>522</v>
      </c>
      <c r="AK606" s="23" t="s">
        <v>212</v>
      </c>
      <c r="AO606" s="23" t="s">
        <v>418</v>
      </c>
      <c r="AP606" s="23" t="s">
        <v>523</v>
      </c>
      <c r="AQ606" s="23" t="s">
        <v>587</v>
      </c>
      <c r="AR606" s="23" t="s">
        <v>147</v>
      </c>
      <c r="AS606" s="23">
        <v>4</v>
      </c>
      <c r="AT606" s="23">
        <v>4</v>
      </c>
      <c r="AU606" s="23" t="s">
        <v>379</v>
      </c>
      <c r="AY606" s="64"/>
      <c r="CZ606" s="23">
        <f>101.24/232.3*100</f>
        <v>43.581575548859227</v>
      </c>
      <c r="DA606" s="23">
        <f>14.98/232.3*100</f>
        <v>6.4485578992681871</v>
      </c>
      <c r="DB606" s="23" t="s">
        <v>526</v>
      </c>
      <c r="DI606" s="23">
        <v>0.18060000000000001</v>
      </c>
      <c r="DJ606" s="23">
        <v>0.1696</v>
      </c>
      <c r="DK606" s="23" t="s">
        <v>525</v>
      </c>
      <c r="EJ606" s="12"/>
      <c r="EL606" s="15"/>
      <c r="FR606" s="23" t="s">
        <v>809</v>
      </c>
      <c r="FT606" s="23">
        <v>30</v>
      </c>
    </row>
    <row r="607" spans="1:176" s="23" customFormat="1" x14ac:dyDescent="0.25">
      <c r="A607" s="23">
        <v>30</v>
      </c>
      <c r="B607" s="23" t="s">
        <v>518</v>
      </c>
      <c r="C607" s="23" t="s">
        <v>519</v>
      </c>
      <c r="D607" s="23">
        <v>2002</v>
      </c>
      <c r="E607" s="23">
        <v>1999</v>
      </c>
      <c r="F607" s="23" t="s">
        <v>520</v>
      </c>
      <c r="G607" s="23" t="s">
        <v>521</v>
      </c>
      <c r="H607" s="23">
        <f t="shared" si="193"/>
        <v>38.533333333333331</v>
      </c>
      <c r="I607" s="23">
        <f t="shared" si="194"/>
        <v>-121.78333333333333</v>
      </c>
      <c r="J607" s="23">
        <v>18.399999999999999</v>
      </c>
      <c r="N607" s="23">
        <v>483</v>
      </c>
      <c r="P607" s="53">
        <v>3</v>
      </c>
      <c r="Q607" s="53"/>
      <c r="R607" s="53">
        <v>36232</v>
      </c>
      <c r="S607" s="53" t="s">
        <v>1572</v>
      </c>
      <c r="T607" s="53" t="s">
        <v>1571</v>
      </c>
      <c r="U607" s="53" t="s">
        <v>1593</v>
      </c>
      <c r="V607" s="53" t="s">
        <v>1912</v>
      </c>
      <c r="X607" s="23">
        <v>36</v>
      </c>
      <c r="Y607" s="23">
        <v>46</v>
      </c>
      <c r="Z607" s="23" t="s">
        <v>167</v>
      </c>
      <c r="AD607" s="23" t="s">
        <v>1491</v>
      </c>
      <c r="AE607" s="23" t="s">
        <v>1713</v>
      </c>
      <c r="AF607" s="152" t="s">
        <v>666</v>
      </c>
      <c r="AG607" s="23" t="s">
        <v>1768</v>
      </c>
      <c r="AH607" s="155" t="s">
        <v>1793</v>
      </c>
      <c r="AI607" s="23" t="s">
        <v>522</v>
      </c>
      <c r="AJ607" s="23" t="s">
        <v>522</v>
      </c>
      <c r="AK607" s="23" t="s">
        <v>212</v>
      </c>
      <c r="AO607" s="23" t="s">
        <v>418</v>
      </c>
      <c r="AP607" s="23" t="s">
        <v>524</v>
      </c>
      <c r="AQ607" s="23" t="s">
        <v>587</v>
      </c>
      <c r="AR607" s="23" t="s">
        <v>147</v>
      </c>
      <c r="AS607" s="23">
        <v>4</v>
      </c>
      <c r="AT607" s="23">
        <v>4</v>
      </c>
      <c r="AU607" s="23" t="s">
        <v>379</v>
      </c>
      <c r="AY607" s="64"/>
      <c r="CZ607" s="23">
        <f>101.24/232.3*100</f>
        <v>43.581575548859227</v>
      </c>
      <c r="DA607" s="23">
        <f>15.92/232.3*100</f>
        <v>6.8532070598364179</v>
      </c>
      <c r="DB607" s="23" t="s">
        <v>526</v>
      </c>
      <c r="DI607" s="23">
        <v>0.18060000000000001</v>
      </c>
      <c r="DJ607" s="23">
        <v>0.1696</v>
      </c>
      <c r="DK607" s="23" t="s">
        <v>525</v>
      </c>
      <c r="EJ607" s="12"/>
      <c r="EL607" s="15"/>
      <c r="FR607" s="23" t="s">
        <v>809</v>
      </c>
      <c r="FT607" s="23">
        <v>30</v>
      </c>
    </row>
    <row r="608" spans="1:176" s="23" customFormat="1" x14ac:dyDescent="0.25">
      <c r="A608" s="23">
        <v>30</v>
      </c>
      <c r="B608" s="23" t="s">
        <v>518</v>
      </c>
      <c r="C608" s="23" t="s">
        <v>519</v>
      </c>
      <c r="D608" s="23">
        <v>2002</v>
      </c>
      <c r="E608" s="23">
        <v>1999</v>
      </c>
      <c r="F608" s="23" t="s">
        <v>520</v>
      </c>
      <c r="G608" s="23" t="s">
        <v>521</v>
      </c>
      <c r="H608" s="23">
        <f t="shared" si="193"/>
        <v>38.533333333333331</v>
      </c>
      <c r="I608" s="23">
        <f t="shared" si="194"/>
        <v>-121.78333333333333</v>
      </c>
      <c r="J608" s="23">
        <v>18.399999999999999</v>
      </c>
      <c r="N608" s="23">
        <v>483</v>
      </c>
      <c r="P608" s="53">
        <v>3</v>
      </c>
      <c r="Q608" s="53"/>
      <c r="R608" s="53">
        <v>36234</v>
      </c>
      <c r="S608" s="53" t="s">
        <v>1572</v>
      </c>
      <c r="T608" s="53" t="s">
        <v>1571</v>
      </c>
      <c r="U608" s="53" t="s">
        <v>1593</v>
      </c>
      <c r="V608" s="53" t="s">
        <v>1912</v>
      </c>
      <c r="X608" s="23">
        <v>36</v>
      </c>
      <c r="Y608" s="23">
        <v>46</v>
      </c>
      <c r="Z608" s="23" t="s">
        <v>167</v>
      </c>
      <c r="AD608" s="23" t="s">
        <v>1491</v>
      </c>
      <c r="AE608" s="23" t="s">
        <v>1713</v>
      </c>
      <c r="AF608" s="152" t="s">
        <v>666</v>
      </c>
      <c r="AG608" s="23" t="s">
        <v>1768</v>
      </c>
      <c r="AH608" s="155" t="s">
        <v>1793</v>
      </c>
      <c r="AI608" s="23" t="s">
        <v>522</v>
      </c>
      <c r="AJ608" s="23" t="s">
        <v>522</v>
      </c>
      <c r="AK608" s="23" t="s">
        <v>212</v>
      </c>
      <c r="AO608" s="23" t="s">
        <v>418</v>
      </c>
      <c r="AP608" s="23" t="s">
        <v>523</v>
      </c>
      <c r="AQ608" s="23" t="s">
        <v>587</v>
      </c>
      <c r="AR608" s="23" t="s">
        <v>147</v>
      </c>
      <c r="AS608" s="23">
        <v>4</v>
      </c>
      <c r="AT608" s="23">
        <v>4</v>
      </c>
      <c r="AU608" s="23" t="s">
        <v>379</v>
      </c>
      <c r="AY608" s="64"/>
      <c r="DI608" s="23">
        <v>0.18329999999999999</v>
      </c>
      <c r="DJ608" s="23">
        <v>0.16689999999999999</v>
      </c>
      <c r="DK608" s="23" t="s">
        <v>525</v>
      </c>
      <c r="EJ608" s="12"/>
      <c r="EL608" s="15"/>
      <c r="FR608" s="23" t="s">
        <v>809</v>
      </c>
      <c r="FT608" s="23">
        <v>30</v>
      </c>
    </row>
    <row r="609" spans="1:176" s="23" customFormat="1" x14ac:dyDescent="0.25">
      <c r="A609" s="23">
        <v>30</v>
      </c>
      <c r="B609" s="23" t="s">
        <v>518</v>
      </c>
      <c r="C609" s="23" t="s">
        <v>519</v>
      </c>
      <c r="D609" s="23">
        <v>2002</v>
      </c>
      <c r="E609" s="23">
        <v>1999</v>
      </c>
      <c r="F609" s="23" t="s">
        <v>520</v>
      </c>
      <c r="G609" s="23" t="s">
        <v>521</v>
      </c>
      <c r="H609" s="23">
        <f t="shared" si="193"/>
        <v>38.533333333333331</v>
      </c>
      <c r="I609" s="23">
        <f t="shared" si="194"/>
        <v>-121.78333333333333</v>
      </c>
      <c r="J609" s="23">
        <v>18.399999999999999</v>
      </c>
      <c r="N609" s="23">
        <v>483</v>
      </c>
      <c r="P609" s="53">
        <v>3</v>
      </c>
      <c r="Q609" s="53"/>
      <c r="R609" s="53">
        <v>36234</v>
      </c>
      <c r="S609" s="53" t="s">
        <v>1572</v>
      </c>
      <c r="T609" s="53" t="s">
        <v>1571</v>
      </c>
      <c r="U609" s="53" t="s">
        <v>1593</v>
      </c>
      <c r="V609" s="53" t="s">
        <v>1912</v>
      </c>
      <c r="X609" s="23">
        <v>36</v>
      </c>
      <c r="Y609" s="23">
        <v>46</v>
      </c>
      <c r="Z609" s="23" t="s">
        <v>167</v>
      </c>
      <c r="AD609" s="23" t="s">
        <v>1491</v>
      </c>
      <c r="AE609" s="23" t="s">
        <v>1713</v>
      </c>
      <c r="AF609" s="152" t="s">
        <v>666</v>
      </c>
      <c r="AG609" s="23" t="s">
        <v>1768</v>
      </c>
      <c r="AH609" s="155" t="s">
        <v>1793</v>
      </c>
      <c r="AI609" s="23" t="s">
        <v>522</v>
      </c>
      <c r="AJ609" s="23" t="s">
        <v>522</v>
      </c>
      <c r="AK609" s="23" t="s">
        <v>212</v>
      </c>
      <c r="AO609" s="23" t="s">
        <v>418</v>
      </c>
      <c r="AP609" s="23" t="s">
        <v>524</v>
      </c>
      <c r="AQ609" s="23" t="s">
        <v>587</v>
      </c>
      <c r="AR609" s="23" t="s">
        <v>147</v>
      </c>
      <c r="AS609" s="23">
        <v>4</v>
      </c>
      <c r="AT609" s="23">
        <v>4</v>
      </c>
      <c r="AU609" s="23" t="s">
        <v>379</v>
      </c>
      <c r="AY609" s="64"/>
      <c r="DI609" s="23">
        <v>0.18329999999999999</v>
      </c>
      <c r="DJ609" s="23">
        <v>0.16689999999999999</v>
      </c>
      <c r="DK609" s="23" t="s">
        <v>525</v>
      </c>
      <c r="EJ609" s="12"/>
      <c r="EL609" s="15"/>
      <c r="FR609" s="23" t="s">
        <v>809</v>
      </c>
      <c r="FT609" s="23">
        <v>30</v>
      </c>
    </row>
    <row r="610" spans="1:176" s="23" customFormat="1" x14ac:dyDescent="0.25">
      <c r="A610" s="23">
        <v>30</v>
      </c>
      <c r="B610" s="23" t="s">
        <v>518</v>
      </c>
      <c r="C610" s="23" t="s">
        <v>519</v>
      </c>
      <c r="D610" s="23">
        <v>2002</v>
      </c>
      <c r="E610" s="23">
        <v>1999</v>
      </c>
      <c r="F610" s="23" t="s">
        <v>520</v>
      </c>
      <c r="G610" s="23" t="s">
        <v>521</v>
      </c>
      <c r="H610" s="23">
        <f t="shared" si="193"/>
        <v>38.533333333333331</v>
      </c>
      <c r="I610" s="23">
        <f t="shared" si="194"/>
        <v>-121.78333333333333</v>
      </c>
      <c r="J610" s="23">
        <v>18.399999999999999</v>
      </c>
      <c r="N610" s="23">
        <v>483</v>
      </c>
      <c r="P610" s="53">
        <v>3</v>
      </c>
      <c r="Q610" s="53"/>
      <c r="R610" s="53">
        <v>36514</v>
      </c>
      <c r="S610" s="53" t="s">
        <v>1572</v>
      </c>
      <c r="T610" s="53" t="s">
        <v>1571</v>
      </c>
      <c r="U610" s="53" t="s">
        <v>1593</v>
      </c>
      <c r="V610" s="53" t="s">
        <v>1912</v>
      </c>
      <c r="X610" s="23">
        <v>36</v>
      </c>
      <c r="Y610" s="23">
        <v>46</v>
      </c>
      <c r="Z610" s="23" t="s">
        <v>167</v>
      </c>
      <c r="AD610" s="23" t="s">
        <v>1491</v>
      </c>
      <c r="AE610" s="23" t="s">
        <v>1713</v>
      </c>
      <c r="AF610" s="152" t="s">
        <v>666</v>
      </c>
      <c r="AG610" s="23" t="s">
        <v>1768</v>
      </c>
      <c r="AH610" s="155" t="s">
        <v>1793</v>
      </c>
      <c r="AI610" s="23" t="s">
        <v>522</v>
      </c>
      <c r="AJ610" s="23" t="s">
        <v>522</v>
      </c>
      <c r="AK610" s="23" t="s">
        <v>212</v>
      </c>
      <c r="AO610" s="23" t="s">
        <v>418</v>
      </c>
      <c r="AP610" s="23" t="s">
        <v>523</v>
      </c>
      <c r="AQ610" s="23" t="s">
        <v>587</v>
      </c>
      <c r="AR610" s="23" t="s">
        <v>147</v>
      </c>
      <c r="AS610" s="23">
        <v>4</v>
      </c>
      <c r="AT610" s="23">
        <v>4</v>
      </c>
      <c r="AU610" s="23" t="s">
        <v>379</v>
      </c>
      <c r="AY610" s="64"/>
      <c r="DI610" s="23">
        <v>0.10920000000000001</v>
      </c>
      <c r="DJ610" s="23">
        <v>0.11459999999999999</v>
      </c>
      <c r="DK610" s="23" t="s">
        <v>525</v>
      </c>
      <c r="EJ610" s="12"/>
      <c r="EL610" s="15"/>
      <c r="FR610" s="23" t="s">
        <v>809</v>
      </c>
      <c r="FT610" s="23">
        <v>30</v>
      </c>
    </row>
    <row r="611" spans="1:176" s="23" customFormat="1" x14ac:dyDescent="0.25">
      <c r="A611" s="23">
        <v>30</v>
      </c>
      <c r="B611" s="23" t="s">
        <v>518</v>
      </c>
      <c r="C611" s="23" t="s">
        <v>519</v>
      </c>
      <c r="D611" s="23">
        <v>2002</v>
      </c>
      <c r="E611" s="23">
        <v>1999</v>
      </c>
      <c r="F611" s="23" t="s">
        <v>520</v>
      </c>
      <c r="G611" s="23" t="s">
        <v>521</v>
      </c>
      <c r="H611" s="23">
        <f t="shared" si="193"/>
        <v>38.533333333333331</v>
      </c>
      <c r="I611" s="23">
        <f t="shared" si="194"/>
        <v>-121.78333333333333</v>
      </c>
      <c r="J611" s="23">
        <v>18.399999999999999</v>
      </c>
      <c r="N611" s="23">
        <v>483</v>
      </c>
      <c r="P611" s="53">
        <v>3</v>
      </c>
      <c r="Q611" s="53"/>
      <c r="R611" s="53">
        <v>36514</v>
      </c>
      <c r="S611" s="53" t="s">
        <v>1572</v>
      </c>
      <c r="T611" s="53" t="s">
        <v>1571</v>
      </c>
      <c r="U611" s="53" t="s">
        <v>1593</v>
      </c>
      <c r="V611" s="53" t="s">
        <v>1912</v>
      </c>
      <c r="X611" s="23">
        <v>36</v>
      </c>
      <c r="Y611" s="23">
        <v>46</v>
      </c>
      <c r="Z611" s="23" t="s">
        <v>167</v>
      </c>
      <c r="AD611" s="23" t="s">
        <v>1491</v>
      </c>
      <c r="AE611" s="23" t="s">
        <v>1713</v>
      </c>
      <c r="AF611" s="152" t="s">
        <v>666</v>
      </c>
      <c r="AG611" s="23" t="s">
        <v>1768</v>
      </c>
      <c r="AH611" s="155" t="s">
        <v>1793</v>
      </c>
      <c r="AI611" s="23" t="s">
        <v>522</v>
      </c>
      <c r="AJ611" s="23" t="s">
        <v>522</v>
      </c>
      <c r="AK611" s="23" t="s">
        <v>212</v>
      </c>
      <c r="AO611" s="23" t="s">
        <v>418</v>
      </c>
      <c r="AP611" s="23" t="s">
        <v>524</v>
      </c>
      <c r="AQ611" s="23" t="s">
        <v>587</v>
      </c>
      <c r="AR611" s="23" t="s">
        <v>147</v>
      </c>
      <c r="AS611" s="23">
        <v>4</v>
      </c>
      <c r="AT611" s="23">
        <v>4</v>
      </c>
      <c r="AU611" s="23" t="s">
        <v>379</v>
      </c>
      <c r="AY611" s="64"/>
      <c r="DI611" s="23">
        <v>0.10920000000000001</v>
      </c>
      <c r="DJ611" s="23">
        <v>0.1265</v>
      </c>
      <c r="DK611" s="23" t="s">
        <v>525</v>
      </c>
      <c r="EJ611" s="12"/>
      <c r="EL611" s="15"/>
      <c r="FR611" s="23" t="s">
        <v>809</v>
      </c>
      <c r="FT611" s="23">
        <v>30</v>
      </c>
    </row>
    <row r="612" spans="1:176" s="23" customFormat="1" x14ac:dyDescent="0.25">
      <c r="A612" s="23">
        <v>30</v>
      </c>
      <c r="B612" s="23" t="s">
        <v>518</v>
      </c>
      <c r="C612" s="23" t="s">
        <v>519</v>
      </c>
      <c r="D612" s="23">
        <v>2002</v>
      </c>
      <c r="E612" s="23">
        <v>2000</v>
      </c>
      <c r="F612" s="23" t="s">
        <v>520</v>
      </c>
      <c r="G612" s="23" t="s">
        <v>521</v>
      </c>
      <c r="H612" s="23">
        <f t="shared" si="193"/>
        <v>38.533333333333331</v>
      </c>
      <c r="I612" s="23">
        <f t="shared" si="194"/>
        <v>-121.78333333333333</v>
      </c>
      <c r="J612" s="23">
        <v>18.399999999999999</v>
      </c>
      <c r="N612" s="23">
        <v>483</v>
      </c>
      <c r="P612" s="53">
        <v>4</v>
      </c>
      <c r="Q612" s="53"/>
      <c r="R612" s="53">
        <v>36535</v>
      </c>
      <c r="S612" s="53" t="s">
        <v>1572</v>
      </c>
      <c r="T612" s="53" t="s">
        <v>1571</v>
      </c>
      <c r="U612" s="53" t="s">
        <v>1593</v>
      </c>
      <c r="V612" s="53" t="s">
        <v>1912</v>
      </c>
      <c r="X612" s="23">
        <v>36</v>
      </c>
      <c r="Y612" s="23">
        <v>46</v>
      </c>
      <c r="Z612" s="23" t="s">
        <v>167</v>
      </c>
      <c r="AD612" s="23" t="s">
        <v>1491</v>
      </c>
      <c r="AE612" s="23" t="s">
        <v>1713</v>
      </c>
      <c r="AF612" s="152" t="s">
        <v>666</v>
      </c>
      <c r="AG612" s="23" t="s">
        <v>1768</v>
      </c>
      <c r="AH612" s="155" t="s">
        <v>1793</v>
      </c>
      <c r="AI612" s="23" t="s">
        <v>522</v>
      </c>
      <c r="AJ612" s="23" t="s">
        <v>522</v>
      </c>
      <c r="AK612" s="23" t="s">
        <v>212</v>
      </c>
      <c r="AO612" s="23" t="s">
        <v>418</v>
      </c>
      <c r="AP612" s="23" t="s">
        <v>523</v>
      </c>
      <c r="AQ612" s="23" t="s">
        <v>587</v>
      </c>
      <c r="AR612" s="23" t="s">
        <v>147</v>
      </c>
      <c r="AS612" s="23">
        <v>4</v>
      </c>
      <c r="AT612" s="23">
        <v>4</v>
      </c>
      <c r="AU612" s="23" t="s">
        <v>379</v>
      </c>
      <c r="AY612" s="64"/>
      <c r="DI612" s="23">
        <v>0.10630000000000001</v>
      </c>
      <c r="DJ612" s="23">
        <v>0.11360000000000001</v>
      </c>
      <c r="DK612" s="23" t="s">
        <v>525</v>
      </c>
      <c r="EJ612" s="12"/>
      <c r="EL612" s="15"/>
      <c r="FR612" s="23" t="s">
        <v>809</v>
      </c>
      <c r="FT612" s="23">
        <v>30</v>
      </c>
    </row>
    <row r="613" spans="1:176" s="23" customFormat="1" x14ac:dyDescent="0.25">
      <c r="A613" s="23">
        <v>30</v>
      </c>
      <c r="B613" s="23" t="s">
        <v>518</v>
      </c>
      <c r="C613" s="23" t="s">
        <v>519</v>
      </c>
      <c r="D613" s="23">
        <v>2002</v>
      </c>
      <c r="E613" s="23">
        <v>2000</v>
      </c>
      <c r="F613" s="23" t="s">
        <v>520</v>
      </c>
      <c r="G613" s="23" t="s">
        <v>521</v>
      </c>
      <c r="H613" s="23">
        <f t="shared" si="193"/>
        <v>38.533333333333331</v>
      </c>
      <c r="I613" s="23">
        <f t="shared" si="194"/>
        <v>-121.78333333333333</v>
      </c>
      <c r="J613" s="23">
        <v>18.399999999999999</v>
      </c>
      <c r="N613" s="23">
        <v>483</v>
      </c>
      <c r="P613" s="53">
        <v>4</v>
      </c>
      <c r="Q613" s="53"/>
      <c r="R613" s="53">
        <v>36535</v>
      </c>
      <c r="S613" s="53" t="s">
        <v>1572</v>
      </c>
      <c r="T613" s="53" t="s">
        <v>1571</v>
      </c>
      <c r="U613" s="53" t="s">
        <v>1593</v>
      </c>
      <c r="V613" s="53" t="s">
        <v>1912</v>
      </c>
      <c r="X613" s="23">
        <v>36</v>
      </c>
      <c r="Y613" s="23">
        <v>46</v>
      </c>
      <c r="Z613" s="23" t="s">
        <v>167</v>
      </c>
      <c r="AD613" s="23" t="s">
        <v>1491</v>
      </c>
      <c r="AE613" s="23" t="s">
        <v>1713</v>
      </c>
      <c r="AF613" s="152" t="s">
        <v>666</v>
      </c>
      <c r="AG613" s="23" t="s">
        <v>1768</v>
      </c>
      <c r="AH613" s="155" t="s">
        <v>1793</v>
      </c>
      <c r="AI613" s="23" t="s">
        <v>522</v>
      </c>
      <c r="AJ613" s="23" t="s">
        <v>522</v>
      </c>
      <c r="AK613" s="23" t="s">
        <v>212</v>
      </c>
      <c r="AO613" s="23" t="s">
        <v>418</v>
      </c>
      <c r="AP613" s="23" t="s">
        <v>524</v>
      </c>
      <c r="AQ613" s="23" t="s">
        <v>587</v>
      </c>
      <c r="AR613" s="23" t="s">
        <v>147</v>
      </c>
      <c r="AS613" s="23">
        <v>4</v>
      </c>
      <c r="AT613" s="23">
        <v>4</v>
      </c>
      <c r="AU613" s="23" t="s">
        <v>379</v>
      </c>
      <c r="AY613" s="64"/>
      <c r="DI613" s="23">
        <v>0.10630000000000001</v>
      </c>
      <c r="DJ613" s="23">
        <v>0.1255</v>
      </c>
      <c r="DK613" s="23" t="s">
        <v>525</v>
      </c>
      <c r="EJ613" s="12"/>
      <c r="EL613" s="15"/>
      <c r="FR613" s="23" t="s">
        <v>809</v>
      </c>
      <c r="FT613" s="23">
        <v>30</v>
      </c>
    </row>
    <row r="614" spans="1:176" s="23" customFormat="1" x14ac:dyDescent="0.25">
      <c r="A614" s="23">
        <v>30</v>
      </c>
      <c r="B614" s="23" t="s">
        <v>518</v>
      </c>
      <c r="C614" s="23" t="s">
        <v>519</v>
      </c>
      <c r="D614" s="23">
        <v>2002</v>
      </c>
      <c r="E614" s="23">
        <v>2000</v>
      </c>
      <c r="F614" s="23" t="s">
        <v>520</v>
      </c>
      <c r="G614" s="23" t="s">
        <v>521</v>
      </c>
      <c r="H614" s="23">
        <f t="shared" si="193"/>
        <v>38.533333333333331</v>
      </c>
      <c r="I614" s="23">
        <f t="shared" si="194"/>
        <v>-121.78333333333333</v>
      </c>
      <c r="J614" s="23">
        <v>18.399999999999999</v>
      </c>
      <c r="N614" s="23">
        <v>483</v>
      </c>
      <c r="P614" s="53">
        <v>4</v>
      </c>
      <c r="Q614" s="53"/>
      <c r="R614" s="53">
        <v>36541</v>
      </c>
      <c r="S614" s="53" t="s">
        <v>1572</v>
      </c>
      <c r="T614" s="53" t="s">
        <v>1571</v>
      </c>
      <c r="U614" s="53" t="s">
        <v>1593</v>
      </c>
      <c r="V614" s="53" t="s">
        <v>1912</v>
      </c>
      <c r="X614" s="23">
        <v>36</v>
      </c>
      <c r="Y614" s="23">
        <v>46</v>
      </c>
      <c r="Z614" s="23" t="s">
        <v>167</v>
      </c>
      <c r="AD614" s="23" t="s">
        <v>1491</v>
      </c>
      <c r="AE614" s="23" t="s">
        <v>1713</v>
      </c>
      <c r="AF614" s="152" t="s">
        <v>666</v>
      </c>
      <c r="AG614" s="23" t="s">
        <v>1768</v>
      </c>
      <c r="AH614" s="155" t="s">
        <v>1793</v>
      </c>
      <c r="AI614" s="23" t="s">
        <v>522</v>
      </c>
      <c r="AJ614" s="23" t="s">
        <v>522</v>
      </c>
      <c r="AK614" s="23" t="s">
        <v>212</v>
      </c>
      <c r="AO614" s="23" t="s">
        <v>418</v>
      </c>
      <c r="AP614" s="23" t="s">
        <v>523</v>
      </c>
      <c r="AQ614" s="23" t="s">
        <v>587</v>
      </c>
      <c r="AR614" s="23" t="s">
        <v>147</v>
      </c>
      <c r="AS614" s="23">
        <v>4</v>
      </c>
      <c r="AT614" s="23">
        <v>4</v>
      </c>
      <c r="AU614" s="23" t="s">
        <v>379</v>
      </c>
      <c r="AY614" s="64"/>
      <c r="DI614" s="23">
        <v>0.1072</v>
      </c>
      <c r="DJ614" s="23">
        <v>0.11360000000000001</v>
      </c>
      <c r="DK614" s="23" t="s">
        <v>525</v>
      </c>
      <c r="EJ614" s="12"/>
      <c r="EL614" s="15"/>
      <c r="FR614" s="23" t="s">
        <v>809</v>
      </c>
      <c r="FT614" s="23">
        <v>30</v>
      </c>
    </row>
    <row r="615" spans="1:176" s="23" customFormat="1" x14ac:dyDescent="0.25">
      <c r="A615" s="23">
        <v>30</v>
      </c>
      <c r="B615" s="23" t="s">
        <v>518</v>
      </c>
      <c r="C615" s="23" t="s">
        <v>519</v>
      </c>
      <c r="D615" s="23">
        <v>2002</v>
      </c>
      <c r="E615" s="23">
        <v>2000</v>
      </c>
      <c r="F615" s="23" t="s">
        <v>520</v>
      </c>
      <c r="G615" s="23" t="s">
        <v>521</v>
      </c>
      <c r="H615" s="23">
        <f t="shared" si="193"/>
        <v>38.533333333333331</v>
      </c>
      <c r="I615" s="23">
        <f t="shared" si="194"/>
        <v>-121.78333333333333</v>
      </c>
      <c r="J615" s="23">
        <v>18.399999999999999</v>
      </c>
      <c r="N615" s="23">
        <v>483</v>
      </c>
      <c r="P615" s="53">
        <v>4</v>
      </c>
      <c r="Q615" s="53"/>
      <c r="R615" s="53">
        <v>36541</v>
      </c>
      <c r="S615" s="53" t="s">
        <v>1572</v>
      </c>
      <c r="T615" s="53" t="s">
        <v>1571</v>
      </c>
      <c r="U615" s="53" t="s">
        <v>1593</v>
      </c>
      <c r="V615" s="53" t="s">
        <v>1912</v>
      </c>
      <c r="X615" s="23">
        <v>36</v>
      </c>
      <c r="Y615" s="23">
        <v>46</v>
      </c>
      <c r="Z615" s="23" t="s">
        <v>167</v>
      </c>
      <c r="AD615" s="23" t="s">
        <v>1491</v>
      </c>
      <c r="AE615" s="23" t="s">
        <v>1713</v>
      </c>
      <c r="AF615" s="152" t="s">
        <v>666</v>
      </c>
      <c r="AG615" s="23" t="s">
        <v>1768</v>
      </c>
      <c r="AH615" s="155" t="s">
        <v>1793</v>
      </c>
      <c r="AI615" s="23" t="s">
        <v>522</v>
      </c>
      <c r="AJ615" s="23" t="s">
        <v>522</v>
      </c>
      <c r="AK615" s="23" t="s">
        <v>212</v>
      </c>
      <c r="AO615" s="23" t="s">
        <v>418</v>
      </c>
      <c r="AP615" s="23" t="s">
        <v>524</v>
      </c>
      <c r="AQ615" s="23" t="s">
        <v>587</v>
      </c>
      <c r="AR615" s="23" t="s">
        <v>147</v>
      </c>
      <c r="AS615" s="23">
        <v>4</v>
      </c>
      <c r="AT615" s="23">
        <v>4</v>
      </c>
      <c r="AU615" s="23" t="s">
        <v>379</v>
      </c>
      <c r="AY615" s="64"/>
      <c r="DI615" s="23">
        <v>0.1072</v>
      </c>
      <c r="DJ615" s="23">
        <v>0.12540000000000001</v>
      </c>
      <c r="DK615" s="23" t="s">
        <v>525</v>
      </c>
      <c r="EJ615" s="12"/>
      <c r="EL615" s="15"/>
      <c r="FR615" s="23" t="s">
        <v>809</v>
      </c>
      <c r="FT615" s="23">
        <v>30</v>
      </c>
    </row>
    <row r="616" spans="1:176" s="23" customFormat="1" x14ac:dyDescent="0.25">
      <c r="A616" s="23">
        <v>30</v>
      </c>
      <c r="B616" s="23" t="s">
        <v>518</v>
      </c>
      <c r="C616" s="23" t="s">
        <v>519</v>
      </c>
      <c r="D616" s="23">
        <v>2002</v>
      </c>
      <c r="E616" s="23">
        <v>2000</v>
      </c>
      <c r="F616" s="23" t="s">
        <v>520</v>
      </c>
      <c r="G616" s="23" t="s">
        <v>521</v>
      </c>
      <c r="H616" s="23">
        <f t="shared" si="193"/>
        <v>38.533333333333331</v>
      </c>
      <c r="I616" s="23">
        <f t="shared" si="194"/>
        <v>-121.78333333333333</v>
      </c>
      <c r="J616" s="23">
        <v>18.399999999999999</v>
      </c>
      <c r="N616" s="23">
        <v>483</v>
      </c>
      <c r="P616" s="53">
        <v>4</v>
      </c>
      <c r="Q616" s="53"/>
      <c r="R616" s="53">
        <v>36549</v>
      </c>
      <c r="S616" s="53" t="s">
        <v>1572</v>
      </c>
      <c r="T616" s="53" t="s">
        <v>1571</v>
      </c>
      <c r="U616" s="53" t="s">
        <v>1593</v>
      </c>
      <c r="V616" s="53" t="s">
        <v>1912</v>
      </c>
      <c r="X616" s="23">
        <v>36</v>
      </c>
      <c r="Y616" s="23">
        <v>46</v>
      </c>
      <c r="Z616" s="23" t="s">
        <v>167</v>
      </c>
      <c r="AD616" s="23" t="s">
        <v>1491</v>
      </c>
      <c r="AE616" s="23" t="s">
        <v>1713</v>
      </c>
      <c r="AF616" s="152" t="s">
        <v>666</v>
      </c>
      <c r="AG616" s="23" t="s">
        <v>1768</v>
      </c>
      <c r="AH616" s="155" t="s">
        <v>1793</v>
      </c>
      <c r="AI616" s="23" t="s">
        <v>522</v>
      </c>
      <c r="AJ616" s="23" t="s">
        <v>522</v>
      </c>
      <c r="AK616" s="23" t="s">
        <v>212</v>
      </c>
      <c r="AO616" s="23" t="s">
        <v>418</v>
      </c>
      <c r="AP616" s="23" t="s">
        <v>523</v>
      </c>
      <c r="AQ616" s="23" t="s">
        <v>587</v>
      </c>
      <c r="AR616" s="23" t="s">
        <v>147</v>
      </c>
      <c r="AS616" s="23">
        <v>4</v>
      </c>
      <c r="AT616" s="23">
        <v>4</v>
      </c>
      <c r="AU616" s="23" t="s">
        <v>379</v>
      </c>
      <c r="AY616" s="64"/>
      <c r="DI616" s="23">
        <v>0.1062</v>
      </c>
      <c r="DJ616" s="23">
        <v>0.11360000000000001</v>
      </c>
      <c r="DK616" s="23" t="s">
        <v>525</v>
      </c>
      <c r="EJ616" s="12"/>
      <c r="EL616" s="15"/>
      <c r="FR616" s="23" t="s">
        <v>809</v>
      </c>
      <c r="FT616" s="23">
        <v>30</v>
      </c>
    </row>
    <row r="617" spans="1:176" s="23" customFormat="1" x14ac:dyDescent="0.25">
      <c r="A617" s="23">
        <v>30</v>
      </c>
      <c r="B617" s="23" t="s">
        <v>518</v>
      </c>
      <c r="C617" s="23" t="s">
        <v>519</v>
      </c>
      <c r="D617" s="23">
        <v>2002</v>
      </c>
      <c r="E617" s="23">
        <v>2000</v>
      </c>
      <c r="F617" s="23" t="s">
        <v>520</v>
      </c>
      <c r="G617" s="23" t="s">
        <v>521</v>
      </c>
      <c r="H617" s="23">
        <f t="shared" si="193"/>
        <v>38.533333333333331</v>
      </c>
      <c r="I617" s="23">
        <f t="shared" si="194"/>
        <v>-121.78333333333333</v>
      </c>
      <c r="J617" s="23">
        <v>18.399999999999999</v>
      </c>
      <c r="N617" s="23">
        <v>483</v>
      </c>
      <c r="P617" s="53">
        <v>4</v>
      </c>
      <c r="Q617" s="53"/>
      <c r="R617" s="53">
        <v>36549</v>
      </c>
      <c r="S617" s="53" t="s">
        <v>1572</v>
      </c>
      <c r="T617" s="53" t="s">
        <v>1571</v>
      </c>
      <c r="U617" s="53" t="s">
        <v>1593</v>
      </c>
      <c r="V617" s="53" t="s">
        <v>1912</v>
      </c>
      <c r="X617" s="23">
        <v>36</v>
      </c>
      <c r="Y617" s="23">
        <v>46</v>
      </c>
      <c r="Z617" s="23" t="s">
        <v>167</v>
      </c>
      <c r="AD617" s="23" t="s">
        <v>1491</v>
      </c>
      <c r="AE617" s="23" t="s">
        <v>1713</v>
      </c>
      <c r="AF617" s="152" t="s">
        <v>666</v>
      </c>
      <c r="AG617" s="23" t="s">
        <v>1768</v>
      </c>
      <c r="AH617" s="155" t="s">
        <v>1793</v>
      </c>
      <c r="AI617" s="23" t="s">
        <v>522</v>
      </c>
      <c r="AJ617" s="23" t="s">
        <v>522</v>
      </c>
      <c r="AK617" s="23" t="s">
        <v>212</v>
      </c>
      <c r="AO617" s="23" t="s">
        <v>418</v>
      </c>
      <c r="AP617" s="23" t="s">
        <v>524</v>
      </c>
      <c r="AQ617" s="23" t="s">
        <v>587</v>
      </c>
      <c r="AR617" s="23" t="s">
        <v>147</v>
      </c>
      <c r="AS617" s="23">
        <v>4</v>
      </c>
      <c r="AT617" s="23">
        <v>4</v>
      </c>
      <c r="AU617" s="23" t="s">
        <v>379</v>
      </c>
      <c r="AY617" s="64"/>
      <c r="DI617" s="23">
        <v>0.1062</v>
      </c>
      <c r="DJ617" s="23">
        <v>0.12540000000000001</v>
      </c>
      <c r="DK617" s="23" t="s">
        <v>525</v>
      </c>
      <c r="EJ617" s="12"/>
      <c r="EL617" s="15"/>
      <c r="FR617" s="23" t="s">
        <v>809</v>
      </c>
      <c r="FT617" s="23">
        <v>30</v>
      </c>
    </row>
    <row r="618" spans="1:176" s="23" customFormat="1" x14ac:dyDescent="0.25">
      <c r="A618" s="23">
        <v>30</v>
      </c>
      <c r="B618" s="23" t="s">
        <v>518</v>
      </c>
      <c r="C618" s="23" t="s">
        <v>519</v>
      </c>
      <c r="D618" s="23">
        <v>2002</v>
      </c>
      <c r="E618" s="23">
        <v>2000</v>
      </c>
      <c r="F618" s="23" t="s">
        <v>520</v>
      </c>
      <c r="G618" s="23" t="s">
        <v>521</v>
      </c>
      <c r="H618" s="23">
        <f t="shared" si="193"/>
        <v>38.533333333333331</v>
      </c>
      <c r="I618" s="23">
        <f t="shared" si="194"/>
        <v>-121.78333333333333</v>
      </c>
      <c r="J618" s="23">
        <v>18.399999999999999</v>
      </c>
      <c r="N618" s="23">
        <v>483</v>
      </c>
      <c r="P618" s="53">
        <v>4</v>
      </c>
      <c r="Q618" s="53"/>
      <c r="R618" s="53">
        <v>36562</v>
      </c>
      <c r="S618" s="53" t="s">
        <v>1572</v>
      </c>
      <c r="T618" s="53" t="s">
        <v>1571</v>
      </c>
      <c r="U618" s="53" t="s">
        <v>1593</v>
      </c>
      <c r="V618" s="53" t="s">
        <v>1912</v>
      </c>
      <c r="X618" s="23">
        <v>36</v>
      </c>
      <c r="Y618" s="23">
        <v>46</v>
      </c>
      <c r="Z618" s="23" t="s">
        <v>167</v>
      </c>
      <c r="AD618" s="23" t="s">
        <v>1491</v>
      </c>
      <c r="AE618" s="23" t="s">
        <v>1713</v>
      </c>
      <c r="AF618" s="152" t="s">
        <v>666</v>
      </c>
      <c r="AG618" s="23" t="s">
        <v>1768</v>
      </c>
      <c r="AH618" s="155" t="s">
        <v>1793</v>
      </c>
      <c r="AI618" s="23" t="s">
        <v>522</v>
      </c>
      <c r="AJ618" s="23" t="s">
        <v>522</v>
      </c>
      <c r="AK618" s="23" t="s">
        <v>212</v>
      </c>
      <c r="AO618" s="23" t="s">
        <v>418</v>
      </c>
      <c r="AP618" s="23" t="s">
        <v>523</v>
      </c>
      <c r="AQ618" s="23" t="s">
        <v>587</v>
      </c>
      <c r="AR618" s="23" t="s">
        <v>147</v>
      </c>
      <c r="AS618" s="23">
        <v>4</v>
      </c>
      <c r="AT618" s="23">
        <v>4</v>
      </c>
      <c r="AU618" s="23" t="s">
        <v>379</v>
      </c>
      <c r="AY618" s="64"/>
      <c r="DI618" s="23">
        <v>0.13350000000000001</v>
      </c>
      <c r="DJ618" s="23">
        <v>0.1472</v>
      </c>
      <c r="DK618" s="23" t="s">
        <v>525</v>
      </c>
      <c r="EJ618" s="12"/>
      <c r="EL618" s="15"/>
      <c r="FR618" s="23" t="s">
        <v>809</v>
      </c>
      <c r="FT618" s="23">
        <v>30</v>
      </c>
    </row>
    <row r="619" spans="1:176" s="23" customFormat="1" x14ac:dyDescent="0.25">
      <c r="A619" s="23">
        <v>30</v>
      </c>
      <c r="B619" s="23" t="s">
        <v>518</v>
      </c>
      <c r="C619" s="23" t="s">
        <v>519</v>
      </c>
      <c r="D619" s="23">
        <v>2002</v>
      </c>
      <c r="E619" s="23">
        <v>2000</v>
      </c>
      <c r="F619" s="23" t="s">
        <v>520</v>
      </c>
      <c r="G619" s="23" t="s">
        <v>521</v>
      </c>
      <c r="H619" s="23">
        <f t="shared" si="193"/>
        <v>38.533333333333331</v>
      </c>
      <c r="I619" s="23">
        <f t="shared" si="194"/>
        <v>-121.78333333333333</v>
      </c>
      <c r="J619" s="23">
        <v>18.399999999999999</v>
      </c>
      <c r="N619" s="23">
        <v>483</v>
      </c>
      <c r="P619" s="53">
        <v>4</v>
      </c>
      <c r="Q619" s="53"/>
      <c r="R619" s="53">
        <v>36562</v>
      </c>
      <c r="S619" s="53" t="s">
        <v>1572</v>
      </c>
      <c r="T619" s="53" t="s">
        <v>1571</v>
      </c>
      <c r="U619" s="53" t="s">
        <v>1593</v>
      </c>
      <c r="V619" s="53" t="s">
        <v>1912</v>
      </c>
      <c r="X619" s="23">
        <v>36</v>
      </c>
      <c r="Y619" s="23">
        <v>46</v>
      </c>
      <c r="Z619" s="23" t="s">
        <v>167</v>
      </c>
      <c r="AD619" s="23" t="s">
        <v>1491</v>
      </c>
      <c r="AE619" s="23" t="s">
        <v>1713</v>
      </c>
      <c r="AF619" s="152" t="s">
        <v>666</v>
      </c>
      <c r="AG619" s="23" t="s">
        <v>1768</v>
      </c>
      <c r="AH619" s="155" t="s">
        <v>1793</v>
      </c>
      <c r="AI619" s="23" t="s">
        <v>522</v>
      </c>
      <c r="AJ619" s="23" t="s">
        <v>522</v>
      </c>
      <c r="AK619" s="23" t="s">
        <v>212</v>
      </c>
      <c r="AO619" s="23" t="s">
        <v>418</v>
      </c>
      <c r="AP619" s="23" t="s">
        <v>524</v>
      </c>
      <c r="AQ619" s="23" t="s">
        <v>587</v>
      </c>
      <c r="AR619" s="23" t="s">
        <v>147</v>
      </c>
      <c r="AS619" s="23">
        <v>4</v>
      </c>
      <c r="AT619" s="23">
        <v>4</v>
      </c>
      <c r="AU619" s="23" t="s">
        <v>379</v>
      </c>
      <c r="AY619" s="64"/>
      <c r="DI619" s="23">
        <v>0.13350000000000001</v>
      </c>
      <c r="DJ619" s="23">
        <v>0.1381</v>
      </c>
      <c r="DK619" s="23" t="s">
        <v>525</v>
      </c>
      <c r="EJ619" s="12"/>
      <c r="EL619" s="15"/>
      <c r="FR619" s="23" t="s">
        <v>809</v>
      </c>
      <c r="FT619" s="23">
        <v>30</v>
      </c>
    </row>
    <row r="620" spans="1:176" s="23" customFormat="1" x14ac:dyDescent="0.25">
      <c r="A620" s="23">
        <v>30</v>
      </c>
      <c r="B620" s="23" t="s">
        <v>518</v>
      </c>
      <c r="C620" s="23" t="s">
        <v>519</v>
      </c>
      <c r="D620" s="23">
        <v>2002</v>
      </c>
      <c r="E620" s="23">
        <v>2000</v>
      </c>
      <c r="F620" s="23" t="s">
        <v>520</v>
      </c>
      <c r="G620" s="23" t="s">
        <v>521</v>
      </c>
      <c r="H620" s="23">
        <f t="shared" si="193"/>
        <v>38.533333333333331</v>
      </c>
      <c r="I620" s="23">
        <f t="shared" si="194"/>
        <v>-121.78333333333333</v>
      </c>
      <c r="J620" s="23">
        <v>18.399999999999999</v>
      </c>
      <c r="N620" s="23">
        <v>483</v>
      </c>
      <c r="P620" s="53">
        <v>4</v>
      </c>
      <c r="Q620" s="53"/>
      <c r="R620" s="53">
        <v>36566</v>
      </c>
      <c r="S620" s="53" t="s">
        <v>1572</v>
      </c>
      <c r="T620" s="53" t="s">
        <v>1571</v>
      </c>
      <c r="U620" s="53" t="s">
        <v>1593</v>
      </c>
      <c r="V620" s="53" t="s">
        <v>1912</v>
      </c>
      <c r="X620" s="23">
        <v>36</v>
      </c>
      <c r="Y620" s="23">
        <v>46</v>
      </c>
      <c r="Z620" s="23" t="s">
        <v>167</v>
      </c>
      <c r="AD620" s="23" t="s">
        <v>1491</v>
      </c>
      <c r="AE620" s="23" t="s">
        <v>1713</v>
      </c>
      <c r="AF620" s="152" t="s">
        <v>666</v>
      </c>
      <c r="AG620" s="23" t="s">
        <v>1768</v>
      </c>
      <c r="AH620" s="155" t="s">
        <v>1793</v>
      </c>
      <c r="AI620" s="23" t="s">
        <v>522</v>
      </c>
      <c r="AJ620" s="23" t="s">
        <v>522</v>
      </c>
      <c r="AK620" s="23" t="s">
        <v>212</v>
      </c>
      <c r="AO620" s="23" t="s">
        <v>418</v>
      </c>
      <c r="AP620" s="23" t="s">
        <v>523</v>
      </c>
      <c r="AQ620" s="23" t="s">
        <v>587</v>
      </c>
      <c r="AR620" s="23" t="s">
        <v>147</v>
      </c>
      <c r="AS620" s="23">
        <v>4</v>
      </c>
      <c r="AT620" s="23">
        <v>4</v>
      </c>
      <c r="AU620" s="23" t="s">
        <v>379</v>
      </c>
      <c r="AY620" s="64"/>
      <c r="DI620" s="23">
        <v>0.1517</v>
      </c>
      <c r="DJ620" s="23">
        <v>0.18179999999999999</v>
      </c>
      <c r="DK620" s="23" t="s">
        <v>525</v>
      </c>
      <c r="EJ620" s="12"/>
      <c r="EL620" s="15"/>
      <c r="FR620" s="23" t="s">
        <v>809</v>
      </c>
      <c r="FT620" s="23">
        <v>30</v>
      </c>
    </row>
    <row r="621" spans="1:176" s="23" customFormat="1" x14ac:dyDescent="0.25">
      <c r="A621" s="23">
        <v>30</v>
      </c>
      <c r="B621" s="23" t="s">
        <v>518</v>
      </c>
      <c r="C621" s="23" t="s">
        <v>519</v>
      </c>
      <c r="D621" s="23">
        <v>2002</v>
      </c>
      <c r="E621" s="23">
        <v>2000</v>
      </c>
      <c r="F621" s="23" t="s">
        <v>520</v>
      </c>
      <c r="G621" s="23" t="s">
        <v>521</v>
      </c>
      <c r="H621" s="23">
        <f t="shared" si="193"/>
        <v>38.533333333333331</v>
      </c>
      <c r="I621" s="23">
        <f t="shared" si="194"/>
        <v>-121.78333333333333</v>
      </c>
      <c r="J621" s="23">
        <v>18.399999999999999</v>
      </c>
      <c r="N621" s="23">
        <v>483</v>
      </c>
      <c r="P621" s="53">
        <v>4</v>
      </c>
      <c r="Q621" s="53"/>
      <c r="R621" s="53">
        <v>36566</v>
      </c>
      <c r="S621" s="53" t="s">
        <v>1572</v>
      </c>
      <c r="T621" s="53" t="s">
        <v>1571</v>
      </c>
      <c r="U621" s="53" t="s">
        <v>1593</v>
      </c>
      <c r="V621" s="53" t="s">
        <v>1912</v>
      </c>
      <c r="X621" s="23">
        <v>36</v>
      </c>
      <c r="Y621" s="23">
        <v>46</v>
      </c>
      <c r="Z621" s="23" t="s">
        <v>167</v>
      </c>
      <c r="AD621" s="23" t="s">
        <v>1491</v>
      </c>
      <c r="AE621" s="23" t="s">
        <v>1713</v>
      </c>
      <c r="AF621" s="152" t="s">
        <v>666</v>
      </c>
      <c r="AG621" s="23" t="s">
        <v>1768</v>
      </c>
      <c r="AH621" s="155" t="s">
        <v>1793</v>
      </c>
      <c r="AI621" s="23" t="s">
        <v>522</v>
      </c>
      <c r="AJ621" s="23" t="s">
        <v>522</v>
      </c>
      <c r="AK621" s="23" t="s">
        <v>212</v>
      </c>
      <c r="AO621" s="23" t="s">
        <v>418</v>
      </c>
      <c r="AP621" s="23" t="s">
        <v>524</v>
      </c>
      <c r="AQ621" s="23" t="s">
        <v>587</v>
      </c>
      <c r="AR621" s="23" t="s">
        <v>147</v>
      </c>
      <c r="AS621" s="23">
        <v>4</v>
      </c>
      <c r="AT621" s="23">
        <v>4</v>
      </c>
      <c r="AU621" s="23" t="s">
        <v>379</v>
      </c>
      <c r="AY621" s="64"/>
      <c r="DI621" s="23">
        <v>0.1517</v>
      </c>
      <c r="DJ621" s="23">
        <v>0.18179999999999999</v>
      </c>
      <c r="DK621" s="23" t="s">
        <v>525</v>
      </c>
      <c r="EJ621" s="12"/>
      <c r="EL621" s="15"/>
      <c r="FR621" s="23" t="s">
        <v>809</v>
      </c>
      <c r="FT621" s="23">
        <v>30</v>
      </c>
    </row>
    <row r="622" spans="1:176" s="23" customFormat="1" x14ac:dyDescent="0.25">
      <c r="A622" s="23">
        <v>30</v>
      </c>
      <c r="B622" s="23" t="s">
        <v>518</v>
      </c>
      <c r="C622" s="23" t="s">
        <v>519</v>
      </c>
      <c r="D622" s="23">
        <v>2002</v>
      </c>
      <c r="E622" s="23">
        <v>2000</v>
      </c>
      <c r="F622" s="23" t="s">
        <v>520</v>
      </c>
      <c r="G622" s="23" t="s">
        <v>521</v>
      </c>
      <c r="H622" s="23">
        <f t="shared" si="193"/>
        <v>38.533333333333331</v>
      </c>
      <c r="I622" s="23">
        <f t="shared" si="194"/>
        <v>-121.78333333333333</v>
      </c>
      <c r="J622" s="23">
        <v>18.399999999999999</v>
      </c>
      <c r="N622" s="23">
        <v>483</v>
      </c>
      <c r="P622" s="53">
        <v>4</v>
      </c>
      <c r="Q622" s="53"/>
      <c r="R622" s="53">
        <v>36572</v>
      </c>
      <c r="S622" s="53" t="s">
        <v>1572</v>
      </c>
      <c r="T622" s="53" t="s">
        <v>1571</v>
      </c>
      <c r="U622" s="53" t="s">
        <v>1593</v>
      </c>
      <c r="V622" s="53" t="s">
        <v>1912</v>
      </c>
      <c r="X622" s="23">
        <v>36</v>
      </c>
      <c r="Y622" s="23">
        <v>46</v>
      </c>
      <c r="Z622" s="23" t="s">
        <v>167</v>
      </c>
      <c r="AD622" s="23" t="s">
        <v>1491</v>
      </c>
      <c r="AE622" s="23" t="s">
        <v>1713</v>
      </c>
      <c r="AF622" s="152" t="s">
        <v>666</v>
      </c>
      <c r="AG622" s="23" t="s">
        <v>1768</v>
      </c>
      <c r="AH622" s="155" t="s">
        <v>1793</v>
      </c>
      <c r="AI622" s="23" t="s">
        <v>522</v>
      </c>
      <c r="AJ622" s="23" t="s">
        <v>522</v>
      </c>
      <c r="AK622" s="23" t="s">
        <v>212</v>
      </c>
      <c r="AO622" s="23" t="s">
        <v>418</v>
      </c>
      <c r="AP622" s="23" t="s">
        <v>523</v>
      </c>
      <c r="AQ622" s="23" t="s">
        <v>587</v>
      </c>
      <c r="AR622" s="23" t="s">
        <v>147</v>
      </c>
      <c r="AS622" s="23">
        <v>4</v>
      </c>
      <c r="AT622" s="23">
        <v>4</v>
      </c>
      <c r="AU622" s="23" t="s">
        <v>379</v>
      </c>
      <c r="AY622" s="64"/>
      <c r="DI622" s="23">
        <v>0.1925</v>
      </c>
      <c r="DJ622" s="23">
        <v>0.22900000000000001</v>
      </c>
      <c r="DK622" s="23" t="s">
        <v>525</v>
      </c>
      <c r="EJ622" s="12"/>
      <c r="EL622" s="15"/>
      <c r="FR622" s="23" t="s">
        <v>809</v>
      </c>
      <c r="FT622" s="23">
        <v>30</v>
      </c>
    </row>
    <row r="623" spans="1:176" s="23" customFormat="1" x14ac:dyDescent="0.25">
      <c r="A623" s="23">
        <v>30</v>
      </c>
      <c r="B623" s="23" t="s">
        <v>518</v>
      </c>
      <c r="C623" s="23" t="s">
        <v>519</v>
      </c>
      <c r="D623" s="23">
        <v>2002</v>
      </c>
      <c r="E623" s="23">
        <v>2000</v>
      </c>
      <c r="F623" s="23" t="s">
        <v>520</v>
      </c>
      <c r="G623" s="23" t="s">
        <v>521</v>
      </c>
      <c r="H623" s="23">
        <f t="shared" si="193"/>
        <v>38.533333333333331</v>
      </c>
      <c r="I623" s="23">
        <f t="shared" si="194"/>
        <v>-121.78333333333333</v>
      </c>
      <c r="J623" s="23">
        <v>18.399999999999999</v>
      </c>
      <c r="N623" s="23">
        <v>483</v>
      </c>
      <c r="P623" s="53">
        <v>4</v>
      </c>
      <c r="Q623" s="53"/>
      <c r="R623" s="53">
        <v>36572</v>
      </c>
      <c r="S623" s="53" t="s">
        <v>1572</v>
      </c>
      <c r="T623" s="53" t="s">
        <v>1571</v>
      </c>
      <c r="U623" s="53" t="s">
        <v>1593</v>
      </c>
      <c r="V623" s="53" t="s">
        <v>1912</v>
      </c>
      <c r="X623" s="23">
        <v>36</v>
      </c>
      <c r="Y623" s="23">
        <v>46</v>
      </c>
      <c r="Z623" s="23" t="s">
        <v>167</v>
      </c>
      <c r="AD623" s="23" t="s">
        <v>1491</v>
      </c>
      <c r="AE623" s="23" t="s">
        <v>1713</v>
      </c>
      <c r="AF623" s="152" t="s">
        <v>666</v>
      </c>
      <c r="AG623" s="23" t="s">
        <v>1768</v>
      </c>
      <c r="AH623" s="155" t="s">
        <v>1793</v>
      </c>
      <c r="AI623" s="23" t="s">
        <v>522</v>
      </c>
      <c r="AJ623" s="23" t="s">
        <v>522</v>
      </c>
      <c r="AK623" s="23" t="s">
        <v>212</v>
      </c>
      <c r="AO623" s="23" t="s">
        <v>418</v>
      </c>
      <c r="AP623" s="23" t="s">
        <v>524</v>
      </c>
      <c r="AQ623" s="23" t="s">
        <v>587</v>
      </c>
      <c r="AR623" s="23" t="s">
        <v>147</v>
      </c>
      <c r="AS623" s="23">
        <v>4</v>
      </c>
      <c r="AT623" s="23">
        <v>4</v>
      </c>
      <c r="AU623" s="23" t="s">
        <v>379</v>
      </c>
      <c r="AY623" s="64"/>
      <c r="DI623" s="23">
        <v>0.1925</v>
      </c>
      <c r="DJ623" s="23">
        <v>0.24629999999999999</v>
      </c>
      <c r="DK623" s="23" t="s">
        <v>525</v>
      </c>
      <c r="EJ623" s="12"/>
      <c r="EL623" s="15"/>
      <c r="FR623" s="23" t="s">
        <v>809</v>
      </c>
      <c r="FT623" s="23">
        <v>30</v>
      </c>
    </row>
    <row r="624" spans="1:176" s="23" customFormat="1" x14ac:dyDescent="0.25">
      <c r="A624" s="23">
        <v>30</v>
      </c>
      <c r="B624" s="23" t="s">
        <v>518</v>
      </c>
      <c r="C624" s="23" t="s">
        <v>519</v>
      </c>
      <c r="D624" s="23">
        <v>2002</v>
      </c>
      <c r="E624" s="23">
        <v>2000</v>
      </c>
      <c r="F624" s="23" t="s">
        <v>520</v>
      </c>
      <c r="G624" s="23" t="s">
        <v>521</v>
      </c>
      <c r="H624" s="23">
        <f t="shared" si="193"/>
        <v>38.533333333333331</v>
      </c>
      <c r="I624" s="23">
        <f t="shared" si="194"/>
        <v>-121.78333333333333</v>
      </c>
      <c r="J624" s="23">
        <v>18.399999999999999</v>
      </c>
      <c r="N624" s="23">
        <v>483</v>
      </c>
      <c r="P624" s="53">
        <v>4</v>
      </c>
      <c r="Q624" s="53"/>
      <c r="R624" s="53">
        <v>36582</v>
      </c>
      <c r="S624" s="53" t="s">
        <v>1572</v>
      </c>
      <c r="T624" s="53" t="s">
        <v>1571</v>
      </c>
      <c r="U624" s="53" t="s">
        <v>1593</v>
      </c>
      <c r="V624" s="53" t="s">
        <v>1912</v>
      </c>
      <c r="X624" s="23">
        <v>36</v>
      </c>
      <c r="Y624" s="23">
        <v>46</v>
      </c>
      <c r="Z624" s="23" t="s">
        <v>167</v>
      </c>
      <c r="AD624" s="23" t="s">
        <v>1491</v>
      </c>
      <c r="AE624" s="23" t="s">
        <v>1713</v>
      </c>
      <c r="AF624" s="152" t="s">
        <v>666</v>
      </c>
      <c r="AG624" s="23" t="s">
        <v>1768</v>
      </c>
      <c r="AH624" s="155" t="s">
        <v>1793</v>
      </c>
      <c r="AI624" s="23" t="s">
        <v>522</v>
      </c>
      <c r="AJ624" s="23" t="s">
        <v>522</v>
      </c>
      <c r="AK624" s="23" t="s">
        <v>212</v>
      </c>
      <c r="AO624" s="23" t="s">
        <v>418</v>
      </c>
      <c r="AP624" s="23" t="s">
        <v>523</v>
      </c>
      <c r="AQ624" s="23" t="s">
        <v>587</v>
      </c>
      <c r="AR624" s="23" t="s">
        <v>147</v>
      </c>
      <c r="AS624" s="23">
        <v>4</v>
      </c>
      <c r="AT624" s="23">
        <v>4</v>
      </c>
      <c r="AU624" s="23" t="s">
        <v>379</v>
      </c>
      <c r="AY624" s="64"/>
      <c r="DI624" s="23">
        <v>0.19980000000000001</v>
      </c>
      <c r="DJ624" s="23">
        <v>0.24540000000000001</v>
      </c>
      <c r="DK624" s="23" t="s">
        <v>525</v>
      </c>
      <c r="EJ624" s="12"/>
      <c r="EL624" s="15"/>
      <c r="FR624" s="23" t="s">
        <v>809</v>
      </c>
      <c r="FT624" s="23">
        <v>30</v>
      </c>
    </row>
    <row r="625" spans="1:176" s="23" customFormat="1" x14ac:dyDescent="0.25">
      <c r="A625" s="23">
        <v>30</v>
      </c>
      <c r="B625" s="23" t="s">
        <v>518</v>
      </c>
      <c r="C625" s="23" t="s">
        <v>519</v>
      </c>
      <c r="D625" s="23">
        <v>2002</v>
      </c>
      <c r="E625" s="23">
        <v>2000</v>
      </c>
      <c r="F625" s="23" t="s">
        <v>520</v>
      </c>
      <c r="G625" s="23" t="s">
        <v>521</v>
      </c>
      <c r="H625" s="23">
        <f t="shared" si="193"/>
        <v>38.533333333333331</v>
      </c>
      <c r="I625" s="23">
        <f t="shared" si="194"/>
        <v>-121.78333333333333</v>
      </c>
      <c r="J625" s="23">
        <v>18.399999999999999</v>
      </c>
      <c r="N625" s="23">
        <v>483</v>
      </c>
      <c r="P625" s="53">
        <v>4</v>
      </c>
      <c r="Q625" s="53"/>
      <c r="R625" s="53">
        <v>36582</v>
      </c>
      <c r="S625" s="53" t="s">
        <v>1572</v>
      </c>
      <c r="T625" s="53" t="s">
        <v>1571</v>
      </c>
      <c r="U625" s="53" t="s">
        <v>1593</v>
      </c>
      <c r="V625" s="53" t="s">
        <v>1912</v>
      </c>
      <c r="X625" s="23">
        <v>36</v>
      </c>
      <c r="Y625" s="23">
        <v>46</v>
      </c>
      <c r="Z625" s="23" t="s">
        <v>167</v>
      </c>
      <c r="AD625" s="23" t="s">
        <v>1491</v>
      </c>
      <c r="AE625" s="23" t="s">
        <v>1713</v>
      </c>
      <c r="AF625" s="152" t="s">
        <v>666</v>
      </c>
      <c r="AG625" s="23" t="s">
        <v>1768</v>
      </c>
      <c r="AH625" s="155" t="s">
        <v>1793</v>
      </c>
      <c r="AI625" s="23" t="s">
        <v>522</v>
      </c>
      <c r="AJ625" s="23" t="s">
        <v>522</v>
      </c>
      <c r="AK625" s="23" t="s">
        <v>212</v>
      </c>
      <c r="AO625" s="23" t="s">
        <v>418</v>
      </c>
      <c r="AP625" s="23" t="s">
        <v>524</v>
      </c>
      <c r="AQ625" s="23" t="s">
        <v>587</v>
      </c>
      <c r="AR625" s="23" t="s">
        <v>147</v>
      </c>
      <c r="AS625" s="23">
        <v>4</v>
      </c>
      <c r="AT625" s="23">
        <v>4</v>
      </c>
      <c r="AU625" s="23" t="s">
        <v>379</v>
      </c>
      <c r="AY625" s="64"/>
      <c r="DI625" s="23">
        <v>0.19980000000000001</v>
      </c>
      <c r="DJ625" s="23">
        <v>0.25359999999999999</v>
      </c>
      <c r="DK625" s="23" t="s">
        <v>525</v>
      </c>
      <c r="EJ625" s="12"/>
      <c r="EL625" s="15"/>
      <c r="FR625" s="23" t="s">
        <v>809</v>
      </c>
      <c r="FT625" s="23">
        <v>30</v>
      </c>
    </row>
    <row r="626" spans="1:176" s="23" customFormat="1" x14ac:dyDescent="0.25">
      <c r="A626" s="23">
        <v>30</v>
      </c>
      <c r="B626" s="23" t="s">
        <v>518</v>
      </c>
      <c r="C626" s="23" t="s">
        <v>519</v>
      </c>
      <c r="D626" s="23">
        <v>2002</v>
      </c>
      <c r="E626" s="23">
        <v>2000</v>
      </c>
      <c r="F626" s="23" t="s">
        <v>520</v>
      </c>
      <c r="G626" s="23" t="s">
        <v>521</v>
      </c>
      <c r="H626" s="23">
        <f t="shared" si="193"/>
        <v>38.533333333333331</v>
      </c>
      <c r="I626" s="23">
        <f t="shared" si="194"/>
        <v>-121.78333333333333</v>
      </c>
      <c r="J626" s="23">
        <v>18.399999999999999</v>
      </c>
      <c r="N626" s="23">
        <v>483</v>
      </c>
      <c r="P626" s="53">
        <v>4</v>
      </c>
      <c r="Q626" s="53"/>
      <c r="R626" s="53">
        <v>36587</v>
      </c>
      <c r="S626" s="53" t="s">
        <v>1572</v>
      </c>
      <c r="T626" s="53" t="s">
        <v>1571</v>
      </c>
      <c r="U626" s="53" t="s">
        <v>1593</v>
      </c>
      <c r="V626" s="53" t="s">
        <v>1912</v>
      </c>
      <c r="X626" s="23">
        <v>36</v>
      </c>
      <c r="Y626" s="23">
        <v>46</v>
      </c>
      <c r="Z626" s="23" t="s">
        <v>167</v>
      </c>
      <c r="AD626" s="23" t="s">
        <v>1491</v>
      </c>
      <c r="AE626" s="23" t="s">
        <v>1713</v>
      </c>
      <c r="AF626" s="152" t="s">
        <v>666</v>
      </c>
      <c r="AG626" s="23" t="s">
        <v>1768</v>
      </c>
      <c r="AH626" s="155" t="s">
        <v>1793</v>
      </c>
      <c r="AI626" s="23" t="s">
        <v>522</v>
      </c>
      <c r="AJ626" s="23" t="s">
        <v>522</v>
      </c>
      <c r="AK626" s="23" t="s">
        <v>212</v>
      </c>
      <c r="AO626" s="23" t="s">
        <v>418</v>
      </c>
      <c r="AP626" s="23" t="s">
        <v>523</v>
      </c>
      <c r="AQ626" s="23" t="s">
        <v>587</v>
      </c>
      <c r="AR626" s="23" t="s">
        <v>147</v>
      </c>
      <c r="AS626" s="23">
        <v>4</v>
      </c>
      <c r="AT626" s="23">
        <v>4</v>
      </c>
      <c r="AU626" s="23" t="s">
        <v>379</v>
      </c>
      <c r="AY626" s="64"/>
      <c r="DI626" s="23">
        <v>0.2006</v>
      </c>
      <c r="DJ626" s="23">
        <v>0.2389</v>
      </c>
      <c r="DK626" s="23" t="s">
        <v>525</v>
      </c>
      <c r="EJ626" s="12"/>
      <c r="EL626" s="15"/>
      <c r="FR626" s="23" t="s">
        <v>809</v>
      </c>
      <c r="FT626" s="23">
        <v>30</v>
      </c>
    </row>
    <row r="627" spans="1:176" s="23" customFormat="1" x14ac:dyDescent="0.25">
      <c r="A627" s="23">
        <v>30</v>
      </c>
      <c r="B627" s="23" t="s">
        <v>518</v>
      </c>
      <c r="C627" s="23" t="s">
        <v>519</v>
      </c>
      <c r="D627" s="23">
        <v>2002</v>
      </c>
      <c r="E627" s="23">
        <v>2000</v>
      </c>
      <c r="F627" s="23" t="s">
        <v>520</v>
      </c>
      <c r="G627" s="23" t="s">
        <v>521</v>
      </c>
      <c r="H627" s="23">
        <f t="shared" si="193"/>
        <v>38.533333333333331</v>
      </c>
      <c r="I627" s="23">
        <f t="shared" si="194"/>
        <v>-121.78333333333333</v>
      </c>
      <c r="J627" s="23">
        <v>18.399999999999999</v>
      </c>
      <c r="N627" s="23">
        <v>483</v>
      </c>
      <c r="P627" s="53">
        <v>4</v>
      </c>
      <c r="Q627" s="53"/>
      <c r="R627" s="53">
        <v>36587</v>
      </c>
      <c r="S627" s="53" t="s">
        <v>1572</v>
      </c>
      <c r="T627" s="53" t="s">
        <v>1571</v>
      </c>
      <c r="U627" s="53" t="s">
        <v>1593</v>
      </c>
      <c r="V627" s="53" t="s">
        <v>1912</v>
      </c>
      <c r="X627" s="23">
        <v>36</v>
      </c>
      <c r="Y627" s="23">
        <v>46</v>
      </c>
      <c r="Z627" s="23" t="s">
        <v>167</v>
      </c>
      <c r="AD627" s="23" t="s">
        <v>1491</v>
      </c>
      <c r="AE627" s="23" t="s">
        <v>1713</v>
      </c>
      <c r="AF627" s="152" t="s">
        <v>666</v>
      </c>
      <c r="AG627" s="23" t="s">
        <v>1768</v>
      </c>
      <c r="AH627" s="155" t="s">
        <v>1793</v>
      </c>
      <c r="AI627" s="23" t="s">
        <v>522</v>
      </c>
      <c r="AJ627" s="23" t="s">
        <v>522</v>
      </c>
      <c r="AK627" s="23" t="s">
        <v>212</v>
      </c>
      <c r="AO627" s="23" t="s">
        <v>418</v>
      </c>
      <c r="AP627" s="23" t="s">
        <v>524</v>
      </c>
      <c r="AQ627" s="23" t="s">
        <v>587</v>
      </c>
      <c r="AR627" s="23" t="s">
        <v>147</v>
      </c>
      <c r="AS627" s="23">
        <v>4</v>
      </c>
      <c r="AT627" s="23">
        <v>4</v>
      </c>
      <c r="AU627" s="23" t="s">
        <v>379</v>
      </c>
      <c r="AY627" s="64"/>
      <c r="DI627" s="23">
        <v>0.2006</v>
      </c>
      <c r="DJ627" s="23">
        <v>0.25169999999999998</v>
      </c>
      <c r="DK627" s="23" t="s">
        <v>525</v>
      </c>
      <c r="EJ627" s="12"/>
      <c r="EL627" s="15"/>
      <c r="FR627" s="23" t="s">
        <v>809</v>
      </c>
      <c r="FT627" s="23">
        <v>30</v>
      </c>
    </row>
    <row r="628" spans="1:176" s="23" customFormat="1" x14ac:dyDescent="0.25">
      <c r="A628" s="23">
        <v>30</v>
      </c>
      <c r="B628" s="23" t="s">
        <v>518</v>
      </c>
      <c r="C628" s="23" t="s">
        <v>519</v>
      </c>
      <c r="D628" s="23">
        <v>2002</v>
      </c>
      <c r="E628" s="23">
        <v>2000</v>
      </c>
      <c r="F628" s="23" t="s">
        <v>520</v>
      </c>
      <c r="G628" s="23" t="s">
        <v>521</v>
      </c>
      <c r="H628" s="23">
        <f t="shared" si="193"/>
        <v>38.533333333333331</v>
      </c>
      <c r="I628" s="23">
        <f t="shared" si="194"/>
        <v>-121.78333333333333</v>
      </c>
      <c r="J628" s="23">
        <v>18.399999999999999</v>
      </c>
      <c r="N628" s="23">
        <v>483</v>
      </c>
      <c r="P628" s="53">
        <v>4</v>
      </c>
      <c r="Q628" s="53"/>
      <c r="R628" s="53">
        <v>36598</v>
      </c>
      <c r="S628" s="53" t="s">
        <v>1572</v>
      </c>
      <c r="T628" s="53" t="s">
        <v>1571</v>
      </c>
      <c r="U628" s="53" t="s">
        <v>1593</v>
      </c>
      <c r="V628" s="53" t="s">
        <v>1912</v>
      </c>
      <c r="X628" s="23">
        <v>36</v>
      </c>
      <c r="Y628" s="23">
        <v>46</v>
      </c>
      <c r="Z628" s="23" t="s">
        <v>167</v>
      </c>
      <c r="AD628" s="23" t="s">
        <v>1491</v>
      </c>
      <c r="AE628" s="23" t="s">
        <v>1713</v>
      </c>
      <c r="AF628" s="152" t="s">
        <v>666</v>
      </c>
      <c r="AG628" s="23" t="s">
        <v>1768</v>
      </c>
      <c r="AH628" s="155" t="s">
        <v>1793</v>
      </c>
      <c r="AI628" s="23" t="s">
        <v>522</v>
      </c>
      <c r="AJ628" s="23" t="s">
        <v>522</v>
      </c>
      <c r="AK628" s="23" t="s">
        <v>212</v>
      </c>
      <c r="AO628" s="23" t="s">
        <v>418</v>
      </c>
      <c r="AP628" s="23" t="s">
        <v>523</v>
      </c>
      <c r="AQ628" s="23" t="s">
        <v>587</v>
      </c>
      <c r="AR628" s="23" t="s">
        <v>147</v>
      </c>
      <c r="AS628" s="23">
        <v>4</v>
      </c>
      <c r="AT628" s="23">
        <v>4</v>
      </c>
      <c r="AU628" s="23" t="s">
        <v>379</v>
      </c>
      <c r="AY628" s="64"/>
      <c r="DI628" s="23">
        <v>0.1988</v>
      </c>
      <c r="DJ628" s="23">
        <v>0.2334</v>
      </c>
      <c r="DK628" s="23" t="s">
        <v>525</v>
      </c>
      <c r="EJ628" s="12"/>
      <c r="EL628" s="15"/>
      <c r="FR628" s="23" t="s">
        <v>809</v>
      </c>
      <c r="FT628" s="23">
        <v>30</v>
      </c>
    </row>
    <row r="629" spans="1:176" s="23" customFormat="1" x14ac:dyDescent="0.25">
      <c r="A629" s="23">
        <v>30</v>
      </c>
      <c r="B629" s="23" t="s">
        <v>518</v>
      </c>
      <c r="C629" s="23" t="s">
        <v>519</v>
      </c>
      <c r="D629" s="23">
        <v>2002</v>
      </c>
      <c r="E629" s="23">
        <v>2000</v>
      </c>
      <c r="F629" s="23" t="s">
        <v>520</v>
      </c>
      <c r="G629" s="23" t="s">
        <v>521</v>
      </c>
      <c r="H629" s="23">
        <f t="shared" si="193"/>
        <v>38.533333333333331</v>
      </c>
      <c r="I629" s="23">
        <f t="shared" si="194"/>
        <v>-121.78333333333333</v>
      </c>
      <c r="J629" s="23">
        <v>18.399999999999999</v>
      </c>
      <c r="N629" s="23">
        <v>483</v>
      </c>
      <c r="P629" s="53">
        <v>4</v>
      </c>
      <c r="Q629" s="53"/>
      <c r="R629" s="53">
        <v>36598</v>
      </c>
      <c r="S629" s="53" t="s">
        <v>1572</v>
      </c>
      <c r="T629" s="53" t="s">
        <v>1571</v>
      </c>
      <c r="U629" s="53" t="s">
        <v>1593</v>
      </c>
      <c r="V629" s="53" t="s">
        <v>1912</v>
      </c>
      <c r="X629" s="23">
        <v>36</v>
      </c>
      <c r="Y629" s="23">
        <v>46</v>
      </c>
      <c r="Z629" s="23" t="s">
        <v>167</v>
      </c>
      <c r="AD629" s="23" t="s">
        <v>1491</v>
      </c>
      <c r="AE629" s="23" t="s">
        <v>1713</v>
      </c>
      <c r="AF629" s="152" t="s">
        <v>666</v>
      </c>
      <c r="AG629" s="23" t="s">
        <v>1768</v>
      </c>
      <c r="AH629" s="155" t="s">
        <v>1793</v>
      </c>
      <c r="AI629" s="23" t="s">
        <v>522</v>
      </c>
      <c r="AJ629" s="23" t="s">
        <v>522</v>
      </c>
      <c r="AK629" s="23" t="s">
        <v>212</v>
      </c>
      <c r="AO629" s="23" t="s">
        <v>418</v>
      </c>
      <c r="AP629" s="23" t="s">
        <v>524</v>
      </c>
      <c r="AQ629" s="23" t="s">
        <v>587</v>
      </c>
      <c r="AR629" s="23" t="s">
        <v>147</v>
      </c>
      <c r="AS629" s="23">
        <v>4</v>
      </c>
      <c r="AT629" s="23">
        <v>4</v>
      </c>
      <c r="AU629" s="23" t="s">
        <v>379</v>
      </c>
      <c r="AY629" s="64"/>
      <c r="DI629" s="23">
        <v>0.1988</v>
      </c>
      <c r="DJ629" s="23">
        <v>0.24709999999999999</v>
      </c>
      <c r="DK629" s="23" t="s">
        <v>525</v>
      </c>
      <c r="EJ629" s="12"/>
      <c r="EL629" s="15"/>
      <c r="FR629" s="23" t="s">
        <v>809</v>
      </c>
      <c r="FT629" s="23">
        <v>30</v>
      </c>
    </row>
    <row r="630" spans="1:176" s="38" customFormat="1" x14ac:dyDescent="0.25">
      <c r="A630" s="38">
        <v>30</v>
      </c>
      <c r="B630" s="38" t="s">
        <v>518</v>
      </c>
      <c r="C630" s="38" t="s">
        <v>519</v>
      </c>
      <c r="D630" s="38">
        <v>2002</v>
      </c>
      <c r="E630" s="38">
        <v>1998</v>
      </c>
      <c r="F630" s="38" t="s">
        <v>520</v>
      </c>
      <c r="G630" s="38" t="s">
        <v>521</v>
      </c>
      <c r="H630" s="38">
        <f t="shared" ref="H630:H661" si="195">38+32/60</f>
        <v>38.533333333333331</v>
      </c>
      <c r="I630" s="38">
        <f t="shared" ref="I630:I661" si="196">-121-47/60</f>
        <v>-121.78333333333333</v>
      </c>
      <c r="J630" s="38">
        <v>18.399999999999999</v>
      </c>
      <c r="N630" s="38">
        <v>483</v>
      </c>
      <c r="P630" s="57">
        <v>2</v>
      </c>
      <c r="Q630" s="57"/>
      <c r="R630" s="57">
        <v>36145</v>
      </c>
      <c r="S630" s="57" t="s">
        <v>1573</v>
      </c>
      <c r="T630" s="57" t="s">
        <v>1571</v>
      </c>
      <c r="U630" s="57" t="s">
        <v>1593</v>
      </c>
      <c r="V630" s="57" t="s">
        <v>1913</v>
      </c>
      <c r="X630" s="38">
        <v>36</v>
      </c>
      <c r="Y630" s="38">
        <v>46</v>
      </c>
      <c r="Z630" s="38" t="s">
        <v>167</v>
      </c>
      <c r="AD630" s="38" t="s">
        <v>1491</v>
      </c>
      <c r="AE630" s="38" t="s">
        <v>1713</v>
      </c>
      <c r="AF630" s="152" t="s">
        <v>666</v>
      </c>
      <c r="AG630" s="38" t="s">
        <v>1768</v>
      </c>
      <c r="AH630" s="155" t="s">
        <v>1793</v>
      </c>
      <c r="AI630" s="38" t="s">
        <v>522</v>
      </c>
      <c r="AJ630" s="38" t="s">
        <v>522</v>
      </c>
      <c r="AK630" s="38" t="s">
        <v>212</v>
      </c>
      <c r="AO630" s="38" t="s">
        <v>418</v>
      </c>
      <c r="AP630" s="38" t="s">
        <v>523</v>
      </c>
      <c r="AQ630" s="38" t="s">
        <v>587</v>
      </c>
      <c r="AR630" s="38" t="s">
        <v>147</v>
      </c>
      <c r="AS630" s="38">
        <v>4</v>
      </c>
      <c r="AT630" s="38">
        <v>4</v>
      </c>
      <c r="AU630" s="38" t="s">
        <v>379</v>
      </c>
      <c r="AY630" s="64"/>
      <c r="DI630" s="38">
        <v>0.1116</v>
      </c>
      <c r="DJ630" s="38">
        <v>0.108</v>
      </c>
      <c r="DK630" s="38" t="s">
        <v>525</v>
      </c>
      <c r="EJ630" s="12"/>
      <c r="EL630" s="15"/>
      <c r="FR630" s="38" t="s">
        <v>809</v>
      </c>
      <c r="FT630" s="38">
        <v>30</v>
      </c>
    </row>
    <row r="631" spans="1:176" s="38" customFormat="1" x14ac:dyDescent="0.25">
      <c r="A631" s="38">
        <v>30</v>
      </c>
      <c r="B631" s="38" t="s">
        <v>518</v>
      </c>
      <c r="C631" s="38" t="s">
        <v>519</v>
      </c>
      <c r="D631" s="38">
        <v>2002</v>
      </c>
      <c r="E631" s="38">
        <v>1998</v>
      </c>
      <c r="F631" s="38" t="s">
        <v>520</v>
      </c>
      <c r="G631" s="38" t="s">
        <v>521</v>
      </c>
      <c r="H631" s="38">
        <f t="shared" si="195"/>
        <v>38.533333333333331</v>
      </c>
      <c r="I631" s="38">
        <f t="shared" si="196"/>
        <v>-121.78333333333333</v>
      </c>
      <c r="J631" s="38">
        <v>18.399999999999999</v>
      </c>
      <c r="N631" s="38">
        <v>483</v>
      </c>
      <c r="P631" s="57">
        <v>2</v>
      </c>
      <c r="Q631" s="57"/>
      <c r="R631" s="57">
        <v>36145</v>
      </c>
      <c r="S631" s="57" t="s">
        <v>1573</v>
      </c>
      <c r="T631" s="57" t="s">
        <v>1571</v>
      </c>
      <c r="U631" s="57" t="s">
        <v>1593</v>
      </c>
      <c r="V631" s="57" t="s">
        <v>1913</v>
      </c>
      <c r="X631" s="38">
        <v>36</v>
      </c>
      <c r="Y631" s="38">
        <v>46</v>
      </c>
      <c r="Z631" s="38" t="s">
        <v>167</v>
      </c>
      <c r="AD631" s="38" t="s">
        <v>1491</v>
      </c>
      <c r="AE631" s="38" t="s">
        <v>1713</v>
      </c>
      <c r="AF631" s="152" t="s">
        <v>666</v>
      </c>
      <c r="AG631" s="38" t="s">
        <v>1768</v>
      </c>
      <c r="AH631" s="155" t="s">
        <v>1793</v>
      </c>
      <c r="AI631" s="38" t="s">
        <v>522</v>
      </c>
      <c r="AJ631" s="38" t="s">
        <v>522</v>
      </c>
      <c r="AK631" s="38" t="s">
        <v>212</v>
      </c>
      <c r="AO631" s="38" t="s">
        <v>418</v>
      </c>
      <c r="AP631" s="38" t="s">
        <v>524</v>
      </c>
      <c r="AQ631" s="38" t="s">
        <v>587</v>
      </c>
      <c r="AR631" s="38" t="s">
        <v>147</v>
      </c>
      <c r="AS631" s="38">
        <v>4</v>
      </c>
      <c r="AT631" s="38">
        <v>4</v>
      </c>
      <c r="AU631" s="38" t="s">
        <v>379</v>
      </c>
      <c r="AY631" s="64"/>
      <c r="DI631" s="38">
        <v>0.1116</v>
      </c>
      <c r="DJ631" s="38">
        <v>0.108</v>
      </c>
      <c r="DK631" s="38" t="s">
        <v>525</v>
      </c>
      <c r="EJ631" s="12"/>
      <c r="EL631" s="15"/>
      <c r="FR631" s="38" t="s">
        <v>809</v>
      </c>
      <c r="FT631" s="38">
        <v>30</v>
      </c>
    </row>
    <row r="632" spans="1:176" s="38" customFormat="1" x14ac:dyDescent="0.25">
      <c r="A632" s="38">
        <v>30</v>
      </c>
      <c r="B632" s="38" t="s">
        <v>518</v>
      </c>
      <c r="C632" s="38" t="s">
        <v>519</v>
      </c>
      <c r="D632" s="38">
        <v>2002</v>
      </c>
      <c r="E632" s="38">
        <v>1999</v>
      </c>
      <c r="F632" s="38" t="s">
        <v>520</v>
      </c>
      <c r="G632" s="38" t="s">
        <v>521</v>
      </c>
      <c r="H632" s="38">
        <f t="shared" si="195"/>
        <v>38.533333333333331</v>
      </c>
      <c r="I632" s="38">
        <f t="shared" si="196"/>
        <v>-121.78333333333333</v>
      </c>
      <c r="J632" s="38">
        <v>18.399999999999999</v>
      </c>
      <c r="N632" s="38">
        <v>483</v>
      </c>
      <c r="P632" s="57">
        <v>3</v>
      </c>
      <c r="Q632" s="57"/>
      <c r="R632" s="57">
        <v>36170</v>
      </c>
      <c r="S632" s="57" t="s">
        <v>1573</v>
      </c>
      <c r="T632" s="57" t="s">
        <v>1571</v>
      </c>
      <c r="U632" s="57" t="s">
        <v>1593</v>
      </c>
      <c r="V632" s="57" t="s">
        <v>1913</v>
      </c>
      <c r="X632" s="38">
        <v>36</v>
      </c>
      <c r="Y632" s="38">
        <v>46</v>
      </c>
      <c r="Z632" s="38" t="s">
        <v>167</v>
      </c>
      <c r="AD632" s="38" t="s">
        <v>1491</v>
      </c>
      <c r="AE632" s="38" t="s">
        <v>1713</v>
      </c>
      <c r="AF632" s="152" t="s">
        <v>666</v>
      </c>
      <c r="AG632" s="38" t="s">
        <v>1768</v>
      </c>
      <c r="AH632" s="155" t="s">
        <v>1793</v>
      </c>
      <c r="AI632" s="38" t="s">
        <v>522</v>
      </c>
      <c r="AJ632" s="38" t="s">
        <v>522</v>
      </c>
      <c r="AK632" s="38" t="s">
        <v>212</v>
      </c>
      <c r="AO632" s="38" t="s">
        <v>418</v>
      </c>
      <c r="AP632" s="38" t="s">
        <v>523</v>
      </c>
      <c r="AQ632" s="38" t="s">
        <v>587</v>
      </c>
      <c r="AR632" s="38" t="s">
        <v>147</v>
      </c>
      <c r="AS632" s="38">
        <v>4</v>
      </c>
      <c r="AT632" s="38">
        <v>4</v>
      </c>
      <c r="AU632" s="38" t="s">
        <v>379</v>
      </c>
      <c r="AY632" s="64"/>
      <c r="DI632" s="38">
        <v>0.1089</v>
      </c>
      <c r="DJ632" s="38">
        <v>0.1116</v>
      </c>
      <c r="DK632" s="38" t="s">
        <v>525</v>
      </c>
      <c r="EJ632" s="12"/>
      <c r="EL632" s="15"/>
      <c r="FR632" s="38" t="s">
        <v>809</v>
      </c>
      <c r="FT632" s="38">
        <v>30</v>
      </c>
    </row>
    <row r="633" spans="1:176" s="38" customFormat="1" x14ac:dyDescent="0.25">
      <c r="A633" s="38">
        <v>30</v>
      </c>
      <c r="B633" s="38" t="s">
        <v>518</v>
      </c>
      <c r="C633" s="38" t="s">
        <v>519</v>
      </c>
      <c r="D633" s="38">
        <v>2002</v>
      </c>
      <c r="E633" s="38">
        <v>1999</v>
      </c>
      <c r="F633" s="38" t="s">
        <v>520</v>
      </c>
      <c r="G633" s="38" t="s">
        <v>521</v>
      </c>
      <c r="H633" s="38">
        <f t="shared" si="195"/>
        <v>38.533333333333331</v>
      </c>
      <c r="I633" s="38">
        <f t="shared" si="196"/>
        <v>-121.78333333333333</v>
      </c>
      <c r="J633" s="38">
        <v>18.399999999999999</v>
      </c>
      <c r="N633" s="38">
        <v>483</v>
      </c>
      <c r="P633" s="57">
        <v>3</v>
      </c>
      <c r="Q633" s="57"/>
      <c r="R633" s="57">
        <v>36170</v>
      </c>
      <c r="S633" s="57" t="s">
        <v>1573</v>
      </c>
      <c r="T633" s="57" t="s">
        <v>1571</v>
      </c>
      <c r="U633" s="57" t="s">
        <v>1593</v>
      </c>
      <c r="V633" s="57" t="s">
        <v>1913</v>
      </c>
      <c r="X633" s="38">
        <v>36</v>
      </c>
      <c r="Y633" s="38">
        <v>46</v>
      </c>
      <c r="Z633" s="38" t="s">
        <v>167</v>
      </c>
      <c r="AD633" s="38" t="s">
        <v>1491</v>
      </c>
      <c r="AE633" s="38" t="s">
        <v>1713</v>
      </c>
      <c r="AF633" s="152" t="s">
        <v>666</v>
      </c>
      <c r="AG633" s="38" t="s">
        <v>1768</v>
      </c>
      <c r="AH633" s="155" t="s">
        <v>1793</v>
      </c>
      <c r="AI633" s="38" t="s">
        <v>522</v>
      </c>
      <c r="AJ633" s="38" t="s">
        <v>522</v>
      </c>
      <c r="AK633" s="38" t="s">
        <v>212</v>
      </c>
      <c r="AO633" s="38" t="s">
        <v>418</v>
      </c>
      <c r="AP633" s="38" t="s">
        <v>524</v>
      </c>
      <c r="AQ633" s="38" t="s">
        <v>587</v>
      </c>
      <c r="AR633" s="38" t="s">
        <v>147</v>
      </c>
      <c r="AS633" s="38">
        <v>4</v>
      </c>
      <c r="AT633" s="38">
        <v>4</v>
      </c>
      <c r="AU633" s="38" t="s">
        <v>379</v>
      </c>
      <c r="AY633" s="64"/>
      <c r="DI633" s="38">
        <v>0.1089</v>
      </c>
      <c r="DJ633" s="38">
        <v>0.10349999999999999</v>
      </c>
      <c r="DK633" s="38" t="s">
        <v>525</v>
      </c>
      <c r="EJ633" s="12"/>
      <c r="EL633" s="15"/>
      <c r="FR633" s="38" t="s">
        <v>809</v>
      </c>
      <c r="FT633" s="38">
        <v>30</v>
      </c>
    </row>
    <row r="634" spans="1:176" s="38" customFormat="1" x14ac:dyDescent="0.25">
      <c r="A634" s="38">
        <v>30</v>
      </c>
      <c r="B634" s="38" t="s">
        <v>518</v>
      </c>
      <c r="C634" s="38" t="s">
        <v>519</v>
      </c>
      <c r="D634" s="38">
        <v>2002</v>
      </c>
      <c r="E634" s="38">
        <v>1999</v>
      </c>
      <c r="F634" s="38" t="s">
        <v>520</v>
      </c>
      <c r="G634" s="38" t="s">
        <v>521</v>
      </c>
      <c r="H634" s="38">
        <f t="shared" si="195"/>
        <v>38.533333333333331</v>
      </c>
      <c r="I634" s="38">
        <f t="shared" si="196"/>
        <v>-121.78333333333333</v>
      </c>
      <c r="J634" s="38">
        <v>18.399999999999999</v>
      </c>
      <c r="N634" s="38">
        <v>483</v>
      </c>
      <c r="P634" s="57">
        <v>3</v>
      </c>
      <c r="Q634" s="57"/>
      <c r="R634" s="57">
        <v>36187</v>
      </c>
      <c r="S634" s="57" t="s">
        <v>1573</v>
      </c>
      <c r="T634" s="57" t="s">
        <v>1571</v>
      </c>
      <c r="U634" s="57" t="s">
        <v>1593</v>
      </c>
      <c r="V634" s="57" t="s">
        <v>1913</v>
      </c>
      <c r="X634" s="38">
        <v>36</v>
      </c>
      <c r="Y634" s="38">
        <v>46</v>
      </c>
      <c r="Z634" s="38" t="s">
        <v>167</v>
      </c>
      <c r="AD634" s="38" t="s">
        <v>1491</v>
      </c>
      <c r="AE634" s="38" t="s">
        <v>1713</v>
      </c>
      <c r="AF634" s="152" t="s">
        <v>666</v>
      </c>
      <c r="AG634" s="38" t="s">
        <v>1768</v>
      </c>
      <c r="AH634" s="155" t="s">
        <v>1793</v>
      </c>
      <c r="AI634" s="38" t="s">
        <v>522</v>
      </c>
      <c r="AJ634" s="38" t="s">
        <v>522</v>
      </c>
      <c r="AK634" s="38" t="s">
        <v>212</v>
      </c>
      <c r="AO634" s="38" t="s">
        <v>418</v>
      </c>
      <c r="AP634" s="38" t="s">
        <v>523</v>
      </c>
      <c r="AQ634" s="38" t="s">
        <v>587</v>
      </c>
      <c r="AR634" s="38" t="s">
        <v>147</v>
      </c>
      <c r="AS634" s="38">
        <v>4</v>
      </c>
      <c r="AT634" s="38">
        <v>4</v>
      </c>
      <c r="AU634" s="38" t="s">
        <v>379</v>
      </c>
      <c r="AY634" s="64"/>
      <c r="DI634" s="38">
        <v>0.11070000000000001</v>
      </c>
      <c r="DJ634" s="38">
        <v>0.1133</v>
      </c>
      <c r="DK634" s="38" t="s">
        <v>525</v>
      </c>
      <c r="EJ634" s="12"/>
      <c r="EL634" s="15"/>
      <c r="FR634" s="38" t="s">
        <v>809</v>
      </c>
      <c r="FT634" s="38">
        <v>30</v>
      </c>
    </row>
    <row r="635" spans="1:176" s="38" customFormat="1" x14ac:dyDescent="0.25">
      <c r="A635" s="38">
        <v>30</v>
      </c>
      <c r="B635" s="38" t="s">
        <v>518</v>
      </c>
      <c r="C635" s="38" t="s">
        <v>519</v>
      </c>
      <c r="D635" s="38">
        <v>2002</v>
      </c>
      <c r="E635" s="38">
        <v>1999</v>
      </c>
      <c r="F635" s="38" t="s">
        <v>520</v>
      </c>
      <c r="G635" s="38" t="s">
        <v>521</v>
      </c>
      <c r="H635" s="38">
        <f t="shared" si="195"/>
        <v>38.533333333333331</v>
      </c>
      <c r="I635" s="38">
        <f t="shared" si="196"/>
        <v>-121.78333333333333</v>
      </c>
      <c r="J635" s="38">
        <v>18.399999999999999</v>
      </c>
      <c r="N635" s="38">
        <v>483</v>
      </c>
      <c r="P635" s="57">
        <v>3</v>
      </c>
      <c r="Q635" s="57"/>
      <c r="R635" s="57">
        <v>36187</v>
      </c>
      <c r="S635" s="57" t="s">
        <v>1573</v>
      </c>
      <c r="T635" s="57" t="s">
        <v>1571</v>
      </c>
      <c r="U635" s="57" t="s">
        <v>1593</v>
      </c>
      <c r="V635" s="57" t="s">
        <v>1913</v>
      </c>
      <c r="X635" s="38">
        <v>36</v>
      </c>
      <c r="Y635" s="38">
        <v>46</v>
      </c>
      <c r="Z635" s="38" t="s">
        <v>167</v>
      </c>
      <c r="AD635" s="38" t="s">
        <v>1491</v>
      </c>
      <c r="AE635" s="38" t="s">
        <v>1713</v>
      </c>
      <c r="AF635" s="152" t="s">
        <v>666</v>
      </c>
      <c r="AG635" s="38" t="s">
        <v>1768</v>
      </c>
      <c r="AH635" s="155" t="s">
        <v>1793</v>
      </c>
      <c r="AI635" s="38" t="s">
        <v>522</v>
      </c>
      <c r="AJ635" s="38" t="s">
        <v>522</v>
      </c>
      <c r="AK635" s="38" t="s">
        <v>212</v>
      </c>
      <c r="AO635" s="38" t="s">
        <v>418</v>
      </c>
      <c r="AP635" s="38" t="s">
        <v>524</v>
      </c>
      <c r="AQ635" s="38" t="s">
        <v>587</v>
      </c>
      <c r="AR635" s="38" t="s">
        <v>147</v>
      </c>
      <c r="AS635" s="38">
        <v>4</v>
      </c>
      <c r="AT635" s="38">
        <v>4</v>
      </c>
      <c r="AU635" s="38" t="s">
        <v>379</v>
      </c>
      <c r="AY635" s="64"/>
      <c r="DI635" s="38">
        <v>0.11070000000000001</v>
      </c>
      <c r="DJ635" s="38">
        <v>0.1062</v>
      </c>
      <c r="DK635" s="38" t="s">
        <v>525</v>
      </c>
      <c r="EJ635" s="12"/>
      <c r="EL635" s="15"/>
      <c r="FR635" s="38" t="s">
        <v>809</v>
      </c>
      <c r="FT635" s="38">
        <v>30</v>
      </c>
    </row>
    <row r="636" spans="1:176" s="38" customFormat="1" x14ac:dyDescent="0.25">
      <c r="A636" s="38">
        <v>30</v>
      </c>
      <c r="B636" s="38" t="s">
        <v>518</v>
      </c>
      <c r="C636" s="38" t="s">
        <v>519</v>
      </c>
      <c r="D636" s="38">
        <v>2002</v>
      </c>
      <c r="E636" s="38">
        <v>1999</v>
      </c>
      <c r="F636" s="38" t="s">
        <v>520</v>
      </c>
      <c r="G636" s="38" t="s">
        <v>521</v>
      </c>
      <c r="H636" s="38">
        <f t="shared" si="195"/>
        <v>38.533333333333331</v>
      </c>
      <c r="I636" s="38">
        <f t="shared" si="196"/>
        <v>-121.78333333333333</v>
      </c>
      <c r="J636" s="38">
        <v>18.399999999999999</v>
      </c>
      <c r="N636" s="38">
        <v>483</v>
      </c>
      <c r="P636" s="57">
        <v>3</v>
      </c>
      <c r="Q636" s="57"/>
      <c r="R636" s="57">
        <v>36198</v>
      </c>
      <c r="S636" s="57" t="s">
        <v>1573</v>
      </c>
      <c r="T636" s="57" t="s">
        <v>1571</v>
      </c>
      <c r="U636" s="57" t="s">
        <v>1593</v>
      </c>
      <c r="V636" s="57" t="s">
        <v>1913</v>
      </c>
      <c r="X636" s="38">
        <v>36</v>
      </c>
      <c r="Y636" s="38">
        <v>46</v>
      </c>
      <c r="Z636" s="38" t="s">
        <v>167</v>
      </c>
      <c r="AD636" s="38" t="s">
        <v>1491</v>
      </c>
      <c r="AE636" s="38" t="s">
        <v>1713</v>
      </c>
      <c r="AF636" s="152" t="s">
        <v>666</v>
      </c>
      <c r="AG636" s="38" t="s">
        <v>1768</v>
      </c>
      <c r="AH636" s="155" t="s">
        <v>1793</v>
      </c>
      <c r="AI636" s="38" t="s">
        <v>522</v>
      </c>
      <c r="AJ636" s="38" t="s">
        <v>522</v>
      </c>
      <c r="AK636" s="38" t="s">
        <v>212</v>
      </c>
      <c r="AO636" s="38" t="s">
        <v>418</v>
      </c>
      <c r="AP636" s="38" t="s">
        <v>523</v>
      </c>
      <c r="AQ636" s="38" t="s">
        <v>587</v>
      </c>
      <c r="AR636" s="38" t="s">
        <v>147</v>
      </c>
      <c r="AS636" s="38">
        <v>4</v>
      </c>
      <c r="AT636" s="38">
        <v>4</v>
      </c>
      <c r="AU636" s="38" t="s">
        <v>379</v>
      </c>
      <c r="AY636" s="64"/>
      <c r="DI636" s="38">
        <v>0.12939999999999999</v>
      </c>
      <c r="DJ636" s="38">
        <v>0.10780000000000001</v>
      </c>
      <c r="DK636" s="38" t="s">
        <v>525</v>
      </c>
      <c r="EJ636" s="12"/>
      <c r="EL636" s="15"/>
      <c r="FR636" s="38" t="s">
        <v>809</v>
      </c>
      <c r="FT636" s="38">
        <v>30</v>
      </c>
    </row>
    <row r="637" spans="1:176" s="38" customFormat="1" x14ac:dyDescent="0.25">
      <c r="A637" s="38">
        <v>30</v>
      </c>
      <c r="B637" s="38" t="s">
        <v>518</v>
      </c>
      <c r="C637" s="38" t="s">
        <v>519</v>
      </c>
      <c r="D637" s="38">
        <v>2002</v>
      </c>
      <c r="E637" s="38">
        <v>1999</v>
      </c>
      <c r="F637" s="38" t="s">
        <v>520</v>
      </c>
      <c r="G637" s="38" t="s">
        <v>521</v>
      </c>
      <c r="H637" s="38">
        <f t="shared" si="195"/>
        <v>38.533333333333331</v>
      </c>
      <c r="I637" s="38">
        <f t="shared" si="196"/>
        <v>-121.78333333333333</v>
      </c>
      <c r="J637" s="38">
        <v>18.399999999999999</v>
      </c>
      <c r="N637" s="38">
        <v>483</v>
      </c>
      <c r="P637" s="57">
        <v>3</v>
      </c>
      <c r="Q637" s="57"/>
      <c r="R637" s="57">
        <v>36198</v>
      </c>
      <c r="S637" s="57" t="s">
        <v>1573</v>
      </c>
      <c r="T637" s="57" t="s">
        <v>1571</v>
      </c>
      <c r="U637" s="57" t="s">
        <v>1593</v>
      </c>
      <c r="V637" s="57" t="s">
        <v>1913</v>
      </c>
      <c r="X637" s="38">
        <v>36</v>
      </c>
      <c r="Y637" s="38">
        <v>46</v>
      </c>
      <c r="Z637" s="38" t="s">
        <v>167</v>
      </c>
      <c r="AD637" s="38" t="s">
        <v>1491</v>
      </c>
      <c r="AE637" s="38" t="s">
        <v>1713</v>
      </c>
      <c r="AF637" s="152" t="s">
        <v>666</v>
      </c>
      <c r="AG637" s="38" t="s">
        <v>1768</v>
      </c>
      <c r="AH637" s="155" t="s">
        <v>1793</v>
      </c>
      <c r="AI637" s="38" t="s">
        <v>522</v>
      </c>
      <c r="AJ637" s="38" t="s">
        <v>522</v>
      </c>
      <c r="AK637" s="38" t="s">
        <v>212</v>
      </c>
      <c r="AO637" s="38" t="s">
        <v>418</v>
      </c>
      <c r="AP637" s="38" t="s">
        <v>524</v>
      </c>
      <c r="AQ637" s="38" t="s">
        <v>587</v>
      </c>
      <c r="AR637" s="38" t="s">
        <v>147</v>
      </c>
      <c r="AS637" s="38">
        <v>4</v>
      </c>
      <c r="AT637" s="38">
        <v>4</v>
      </c>
      <c r="AU637" s="38" t="s">
        <v>379</v>
      </c>
      <c r="AY637" s="64"/>
      <c r="DI637" s="38">
        <v>0.12939999999999999</v>
      </c>
      <c r="DJ637" s="38">
        <v>0.10780000000000001</v>
      </c>
      <c r="DK637" s="38" t="s">
        <v>525</v>
      </c>
      <c r="EJ637" s="12"/>
      <c r="EL637" s="15"/>
      <c r="FR637" s="38" t="s">
        <v>809</v>
      </c>
      <c r="FT637" s="38">
        <v>30</v>
      </c>
    </row>
    <row r="638" spans="1:176" s="38" customFormat="1" x14ac:dyDescent="0.25">
      <c r="A638" s="38">
        <v>30</v>
      </c>
      <c r="B638" s="38" t="s">
        <v>518</v>
      </c>
      <c r="C638" s="38" t="s">
        <v>519</v>
      </c>
      <c r="D638" s="38">
        <v>2002</v>
      </c>
      <c r="E638" s="38">
        <v>1999</v>
      </c>
      <c r="F638" s="38" t="s">
        <v>520</v>
      </c>
      <c r="G638" s="38" t="s">
        <v>521</v>
      </c>
      <c r="H638" s="38">
        <f t="shared" si="195"/>
        <v>38.533333333333331</v>
      </c>
      <c r="I638" s="38">
        <f t="shared" si="196"/>
        <v>-121.78333333333333</v>
      </c>
      <c r="J638" s="38">
        <v>18.399999999999999</v>
      </c>
      <c r="N638" s="38">
        <v>483</v>
      </c>
      <c r="P638" s="57">
        <v>3</v>
      </c>
      <c r="Q638" s="57"/>
      <c r="R638" s="57">
        <v>36232</v>
      </c>
      <c r="S638" s="57" t="s">
        <v>1573</v>
      </c>
      <c r="T638" s="57" t="s">
        <v>1571</v>
      </c>
      <c r="U638" s="57" t="s">
        <v>1593</v>
      </c>
      <c r="V638" s="57" t="s">
        <v>1913</v>
      </c>
      <c r="X638" s="38">
        <v>36</v>
      </c>
      <c r="Y638" s="38">
        <v>46</v>
      </c>
      <c r="Z638" s="38" t="s">
        <v>167</v>
      </c>
      <c r="AD638" s="38" t="s">
        <v>1491</v>
      </c>
      <c r="AE638" s="38" t="s">
        <v>1713</v>
      </c>
      <c r="AF638" s="152" t="s">
        <v>666</v>
      </c>
      <c r="AG638" s="38" t="s">
        <v>1768</v>
      </c>
      <c r="AH638" s="155" t="s">
        <v>1793</v>
      </c>
      <c r="AI638" s="38" t="s">
        <v>522</v>
      </c>
      <c r="AJ638" s="38" t="s">
        <v>522</v>
      </c>
      <c r="AK638" s="38" t="s">
        <v>212</v>
      </c>
      <c r="AO638" s="38" t="s">
        <v>418</v>
      </c>
      <c r="AP638" s="38" t="s">
        <v>523</v>
      </c>
      <c r="AQ638" s="38" t="s">
        <v>587</v>
      </c>
      <c r="AR638" s="38" t="s">
        <v>147</v>
      </c>
      <c r="AS638" s="38">
        <v>4</v>
      </c>
      <c r="AT638" s="38">
        <v>4</v>
      </c>
      <c r="AU638" s="38" t="s">
        <v>379</v>
      </c>
      <c r="AY638" s="64"/>
      <c r="DI638" s="38">
        <v>0.1303</v>
      </c>
      <c r="DJ638" s="38">
        <v>0.1133</v>
      </c>
      <c r="DK638" s="38" t="s">
        <v>525</v>
      </c>
      <c r="EJ638" s="12"/>
      <c r="EL638" s="15"/>
      <c r="FR638" s="38" t="s">
        <v>809</v>
      </c>
      <c r="FT638" s="38">
        <v>30</v>
      </c>
    </row>
    <row r="639" spans="1:176" s="38" customFormat="1" x14ac:dyDescent="0.25">
      <c r="A639" s="38">
        <v>30</v>
      </c>
      <c r="B639" s="38" t="s">
        <v>518</v>
      </c>
      <c r="C639" s="38" t="s">
        <v>519</v>
      </c>
      <c r="D639" s="38">
        <v>2002</v>
      </c>
      <c r="E639" s="38">
        <v>1999</v>
      </c>
      <c r="F639" s="38" t="s">
        <v>520</v>
      </c>
      <c r="G639" s="38" t="s">
        <v>521</v>
      </c>
      <c r="H639" s="38">
        <f t="shared" si="195"/>
        <v>38.533333333333331</v>
      </c>
      <c r="I639" s="38">
        <f t="shared" si="196"/>
        <v>-121.78333333333333</v>
      </c>
      <c r="J639" s="38">
        <v>18.399999999999999</v>
      </c>
      <c r="N639" s="38">
        <v>483</v>
      </c>
      <c r="P639" s="57">
        <v>3</v>
      </c>
      <c r="Q639" s="57"/>
      <c r="R639" s="57">
        <v>36232</v>
      </c>
      <c r="S639" s="57" t="s">
        <v>1573</v>
      </c>
      <c r="T639" s="57" t="s">
        <v>1571</v>
      </c>
      <c r="U639" s="57" t="s">
        <v>1593</v>
      </c>
      <c r="V639" s="57" t="s">
        <v>1913</v>
      </c>
      <c r="X639" s="38">
        <v>36</v>
      </c>
      <c r="Y639" s="38">
        <v>46</v>
      </c>
      <c r="Z639" s="38" t="s">
        <v>167</v>
      </c>
      <c r="AD639" s="38" t="s">
        <v>1491</v>
      </c>
      <c r="AE639" s="38" t="s">
        <v>1713</v>
      </c>
      <c r="AF639" s="152" t="s">
        <v>666</v>
      </c>
      <c r="AG639" s="38" t="s">
        <v>1768</v>
      </c>
      <c r="AH639" s="155" t="s">
        <v>1793</v>
      </c>
      <c r="AI639" s="38" t="s">
        <v>522</v>
      </c>
      <c r="AJ639" s="38" t="s">
        <v>522</v>
      </c>
      <c r="AK639" s="38" t="s">
        <v>212</v>
      </c>
      <c r="AO639" s="38" t="s">
        <v>418</v>
      </c>
      <c r="AP639" s="38" t="s">
        <v>524</v>
      </c>
      <c r="AQ639" s="38" t="s">
        <v>587</v>
      </c>
      <c r="AR639" s="38" t="s">
        <v>147</v>
      </c>
      <c r="AS639" s="38">
        <v>4</v>
      </c>
      <c r="AT639" s="38">
        <v>4</v>
      </c>
      <c r="AU639" s="38" t="s">
        <v>379</v>
      </c>
      <c r="AY639" s="64"/>
      <c r="DI639" s="38">
        <v>0.1303</v>
      </c>
      <c r="DJ639" s="38">
        <v>0.10780000000000001</v>
      </c>
      <c r="DK639" s="38" t="s">
        <v>525</v>
      </c>
      <c r="EJ639" s="12"/>
      <c r="EL639" s="15"/>
      <c r="FR639" s="38" t="s">
        <v>809</v>
      </c>
      <c r="FT639" s="38">
        <v>30</v>
      </c>
    </row>
    <row r="640" spans="1:176" s="38" customFormat="1" x14ac:dyDescent="0.25">
      <c r="A640" s="38">
        <v>30</v>
      </c>
      <c r="B640" s="38" t="s">
        <v>518</v>
      </c>
      <c r="C640" s="38" t="s">
        <v>519</v>
      </c>
      <c r="D640" s="38">
        <v>2002</v>
      </c>
      <c r="E640" s="38">
        <v>1999</v>
      </c>
      <c r="F640" s="38" t="s">
        <v>520</v>
      </c>
      <c r="G640" s="38" t="s">
        <v>521</v>
      </c>
      <c r="H640" s="38">
        <f t="shared" si="195"/>
        <v>38.533333333333331</v>
      </c>
      <c r="I640" s="38">
        <f t="shared" si="196"/>
        <v>-121.78333333333333</v>
      </c>
      <c r="J640" s="38">
        <v>18.399999999999999</v>
      </c>
      <c r="N640" s="38">
        <v>483</v>
      </c>
      <c r="P640" s="57">
        <v>3</v>
      </c>
      <c r="Q640" s="57"/>
      <c r="R640" s="57">
        <v>36234</v>
      </c>
      <c r="S640" s="57" t="s">
        <v>1573</v>
      </c>
      <c r="T640" s="57" t="s">
        <v>1571</v>
      </c>
      <c r="U640" s="57" t="s">
        <v>1593</v>
      </c>
      <c r="V640" s="57" t="s">
        <v>1913</v>
      </c>
      <c r="X640" s="38">
        <v>36</v>
      </c>
      <c r="Y640" s="38">
        <v>46</v>
      </c>
      <c r="Z640" s="38" t="s">
        <v>167</v>
      </c>
      <c r="AD640" s="38" t="s">
        <v>1491</v>
      </c>
      <c r="AE640" s="38" t="s">
        <v>1713</v>
      </c>
      <c r="AF640" s="152" t="s">
        <v>666</v>
      </c>
      <c r="AG640" s="38" t="s">
        <v>1768</v>
      </c>
      <c r="AH640" s="155" t="s">
        <v>1793</v>
      </c>
      <c r="AI640" s="38" t="s">
        <v>522</v>
      </c>
      <c r="AJ640" s="38" t="s">
        <v>522</v>
      </c>
      <c r="AK640" s="38" t="s">
        <v>212</v>
      </c>
      <c r="AO640" s="38" t="s">
        <v>418</v>
      </c>
      <c r="AP640" s="38" t="s">
        <v>523</v>
      </c>
      <c r="AQ640" s="38" t="s">
        <v>587</v>
      </c>
      <c r="AR640" s="38" t="s">
        <v>147</v>
      </c>
      <c r="AS640" s="38">
        <v>4</v>
      </c>
      <c r="AT640" s="38">
        <v>4</v>
      </c>
      <c r="AU640" s="38" t="s">
        <v>379</v>
      </c>
      <c r="AY640" s="64"/>
      <c r="DI640" s="38">
        <v>0.1285</v>
      </c>
      <c r="DJ640" s="38">
        <v>0.1124</v>
      </c>
      <c r="DK640" s="38" t="s">
        <v>525</v>
      </c>
      <c r="EJ640" s="12"/>
      <c r="EL640" s="15"/>
      <c r="FR640" s="38" t="s">
        <v>809</v>
      </c>
      <c r="FT640" s="38">
        <v>30</v>
      </c>
    </row>
    <row r="641" spans="1:176" s="38" customFormat="1" x14ac:dyDescent="0.25">
      <c r="A641" s="38">
        <v>30</v>
      </c>
      <c r="B641" s="38" t="s">
        <v>518</v>
      </c>
      <c r="C641" s="38" t="s">
        <v>519</v>
      </c>
      <c r="D641" s="38">
        <v>2002</v>
      </c>
      <c r="E641" s="38">
        <v>1999</v>
      </c>
      <c r="F641" s="38" t="s">
        <v>520</v>
      </c>
      <c r="G641" s="38" t="s">
        <v>521</v>
      </c>
      <c r="H641" s="38">
        <f t="shared" si="195"/>
        <v>38.533333333333331</v>
      </c>
      <c r="I641" s="38">
        <f t="shared" si="196"/>
        <v>-121.78333333333333</v>
      </c>
      <c r="J641" s="38">
        <v>18.399999999999999</v>
      </c>
      <c r="N641" s="38">
        <v>483</v>
      </c>
      <c r="P641" s="57">
        <v>3</v>
      </c>
      <c r="Q641" s="57"/>
      <c r="R641" s="57">
        <v>36234</v>
      </c>
      <c r="S641" s="57" t="s">
        <v>1573</v>
      </c>
      <c r="T641" s="57" t="s">
        <v>1571</v>
      </c>
      <c r="U641" s="57" t="s">
        <v>1593</v>
      </c>
      <c r="V641" s="57" t="s">
        <v>1913</v>
      </c>
      <c r="X641" s="38">
        <v>36</v>
      </c>
      <c r="Y641" s="38">
        <v>46</v>
      </c>
      <c r="Z641" s="38" t="s">
        <v>167</v>
      </c>
      <c r="AD641" s="38" t="s">
        <v>1491</v>
      </c>
      <c r="AE641" s="38" t="s">
        <v>1713</v>
      </c>
      <c r="AF641" s="152" t="s">
        <v>666</v>
      </c>
      <c r="AG641" s="38" t="s">
        <v>1768</v>
      </c>
      <c r="AH641" s="155" t="s">
        <v>1793</v>
      </c>
      <c r="AI641" s="38" t="s">
        <v>522</v>
      </c>
      <c r="AJ641" s="38" t="s">
        <v>522</v>
      </c>
      <c r="AK641" s="38" t="s">
        <v>212</v>
      </c>
      <c r="AO641" s="38" t="s">
        <v>418</v>
      </c>
      <c r="AP641" s="38" t="s">
        <v>524</v>
      </c>
      <c r="AQ641" s="38" t="s">
        <v>587</v>
      </c>
      <c r="AR641" s="38" t="s">
        <v>147</v>
      </c>
      <c r="AS641" s="38">
        <v>4</v>
      </c>
      <c r="AT641" s="38">
        <v>4</v>
      </c>
      <c r="AU641" s="38" t="s">
        <v>379</v>
      </c>
      <c r="AY641" s="64"/>
      <c r="DI641" s="38">
        <v>0.1285</v>
      </c>
      <c r="DJ641" s="38">
        <v>0.1061</v>
      </c>
      <c r="DK641" s="38" t="s">
        <v>525</v>
      </c>
      <c r="EJ641" s="12"/>
      <c r="EL641" s="15"/>
      <c r="FR641" s="38" t="s">
        <v>809</v>
      </c>
      <c r="FT641" s="38">
        <v>30</v>
      </c>
    </row>
    <row r="642" spans="1:176" s="38" customFormat="1" x14ac:dyDescent="0.25">
      <c r="A642" s="38">
        <v>30</v>
      </c>
      <c r="B642" s="38" t="s">
        <v>518</v>
      </c>
      <c r="C642" s="38" t="s">
        <v>519</v>
      </c>
      <c r="D642" s="38">
        <v>2002</v>
      </c>
      <c r="E642" s="38">
        <v>1999</v>
      </c>
      <c r="F642" s="38" t="s">
        <v>520</v>
      </c>
      <c r="G642" s="38" t="s">
        <v>521</v>
      </c>
      <c r="H642" s="38">
        <f t="shared" si="195"/>
        <v>38.533333333333331</v>
      </c>
      <c r="I642" s="38">
        <f t="shared" si="196"/>
        <v>-121.78333333333333</v>
      </c>
      <c r="J642" s="38">
        <v>18.399999999999999</v>
      </c>
      <c r="N642" s="38">
        <v>483</v>
      </c>
      <c r="P642" s="57">
        <v>3</v>
      </c>
      <c r="Q642" s="57"/>
      <c r="R642" s="57">
        <v>36514</v>
      </c>
      <c r="S642" s="57" t="s">
        <v>1573</v>
      </c>
      <c r="T642" s="57" t="s">
        <v>1571</v>
      </c>
      <c r="U642" s="57" t="s">
        <v>1593</v>
      </c>
      <c r="V642" s="57" t="s">
        <v>1913</v>
      </c>
      <c r="X642" s="38">
        <v>36</v>
      </c>
      <c r="Y642" s="38">
        <v>46</v>
      </c>
      <c r="Z642" s="38" t="s">
        <v>167</v>
      </c>
      <c r="AD642" s="38" t="s">
        <v>1491</v>
      </c>
      <c r="AE642" s="38" t="s">
        <v>1713</v>
      </c>
      <c r="AF642" s="152" t="s">
        <v>666</v>
      </c>
      <c r="AG642" s="38" t="s">
        <v>1768</v>
      </c>
      <c r="AH642" s="155" t="s">
        <v>1793</v>
      </c>
      <c r="AI642" s="38" t="s">
        <v>522</v>
      </c>
      <c r="AJ642" s="38" t="s">
        <v>522</v>
      </c>
      <c r="AK642" s="38" t="s">
        <v>212</v>
      </c>
      <c r="AO642" s="38" t="s">
        <v>418</v>
      </c>
      <c r="AP642" s="38" t="s">
        <v>523</v>
      </c>
      <c r="AQ642" s="38" t="s">
        <v>587</v>
      </c>
      <c r="AR642" s="38" t="s">
        <v>147</v>
      </c>
      <c r="AS642" s="38">
        <v>4</v>
      </c>
      <c r="AT642" s="38">
        <v>4</v>
      </c>
      <c r="AU642" s="38" t="s">
        <v>379</v>
      </c>
      <c r="AY642" s="64"/>
      <c r="DI642" s="38">
        <v>0.1051</v>
      </c>
      <c r="DJ642" s="38">
        <v>0.1069</v>
      </c>
      <c r="DK642" s="38" t="s">
        <v>525</v>
      </c>
      <c r="EJ642" s="12"/>
      <c r="EL642" s="15"/>
      <c r="FR642" s="38" t="s">
        <v>809</v>
      </c>
      <c r="FT642" s="38">
        <v>30</v>
      </c>
    </row>
    <row r="643" spans="1:176" s="38" customFormat="1" x14ac:dyDescent="0.25">
      <c r="A643" s="38">
        <v>30</v>
      </c>
      <c r="B643" s="38" t="s">
        <v>518</v>
      </c>
      <c r="C643" s="38" t="s">
        <v>519</v>
      </c>
      <c r="D643" s="38">
        <v>2002</v>
      </c>
      <c r="E643" s="38">
        <v>1999</v>
      </c>
      <c r="F643" s="38" t="s">
        <v>520</v>
      </c>
      <c r="G643" s="38" t="s">
        <v>521</v>
      </c>
      <c r="H643" s="38">
        <f t="shared" si="195"/>
        <v>38.533333333333331</v>
      </c>
      <c r="I643" s="38">
        <f t="shared" si="196"/>
        <v>-121.78333333333333</v>
      </c>
      <c r="J643" s="38">
        <v>18.399999999999999</v>
      </c>
      <c r="N643" s="38">
        <v>483</v>
      </c>
      <c r="P643" s="57">
        <v>3</v>
      </c>
      <c r="Q643" s="57"/>
      <c r="R643" s="57">
        <v>36514</v>
      </c>
      <c r="S643" s="57" t="s">
        <v>1573</v>
      </c>
      <c r="T643" s="57" t="s">
        <v>1571</v>
      </c>
      <c r="U643" s="57" t="s">
        <v>1593</v>
      </c>
      <c r="V643" s="57" t="s">
        <v>1913</v>
      </c>
      <c r="X643" s="38">
        <v>36</v>
      </c>
      <c r="Y643" s="38">
        <v>46</v>
      </c>
      <c r="Z643" s="38" t="s">
        <v>167</v>
      </c>
      <c r="AD643" s="38" t="s">
        <v>1491</v>
      </c>
      <c r="AE643" s="38" t="s">
        <v>1713</v>
      </c>
      <c r="AF643" s="152" t="s">
        <v>666</v>
      </c>
      <c r="AG643" s="38" t="s">
        <v>1768</v>
      </c>
      <c r="AH643" s="155" t="s">
        <v>1793</v>
      </c>
      <c r="AI643" s="38" t="s">
        <v>522</v>
      </c>
      <c r="AJ643" s="38" t="s">
        <v>522</v>
      </c>
      <c r="AK643" s="38" t="s">
        <v>212</v>
      </c>
      <c r="AO643" s="38" t="s">
        <v>418</v>
      </c>
      <c r="AP643" s="38" t="s">
        <v>524</v>
      </c>
      <c r="AQ643" s="38" t="s">
        <v>587</v>
      </c>
      <c r="AR643" s="38" t="s">
        <v>147</v>
      </c>
      <c r="AS643" s="38">
        <v>4</v>
      </c>
      <c r="AT643" s="38">
        <v>4</v>
      </c>
      <c r="AU643" s="38" t="s">
        <v>379</v>
      </c>
      <c r="AY643" s="64"/>
      <c r="DI643" s="38">
        <v>0.1051</v>
      </c>
      <c r="DJ643" s="38">
        <v>0.1114</v>
      </c>
      <c r="DK643" s="38" t="s">
        <v>525</v>
      </c>
      <c r="EJ643" s="12"/>
      <c r="EL643" s="15"/>
      <c r="FR643" s="38" t="s">
        <v>809</v>
      </c>
      <c r="FT643" s="38">
        <v>30</v>
      </c>
    </row>
    <row r="644" spans="1:176" s="38" customFormat="1" x14ac:dyDescent="0.25">
      <c r="A644" s="38">
        <v>30</v>
      </c>
      <c r="B644" s="38" t="s">
        <v>518</v>
      </c>
      <c r="C644" s="38" t="s">
        <v>519</v>
      </c>
      <c r="D644" s="38">
        <v>2002</v>
      </c>
      <c r="E644" s="38">
        <v>2000</v>
      </c>
      <c r="F644" s="38" t="s">
        <v>520</v>
      </c>
      <c r="G644" s="38" t="s">
        <v>521</v>
      </c>
      <c r="H644" s="38">
        <f t="shared" si="195"/>
        <v>38.533333333333331</v>
      </c>
      <c r="I644" s="38">
        <f t="shared" si="196"/>
        <v>-121.78333333333333</v>
      </c>
      <c r="J644" s="38">
        <v>18.399999999999999</v>
      </c>
      <c r="N644" s="38">
        <v>483</v>
      </c>
      <c r="P644" s="57">
        <v>4</v>
      </c>
      <c r="Q644" s="57"/>
      <c r="R644" s="57">
        <v>36535</v>
      </c>
      <c r="S644" s="57" t="s">
        <v>1573</v>
      </c>
      <c r="T644" s="57" t="s">
        <v>1571</v>
      </c>
      <c r="U644" s="57" t="s">
        <v>1593</v>
      </c>
      <c r="V644" s="57" t="s">
        <v>1913</v>
      </c>
      <c r="X644" s="38">
        <v>36</v>
      </c>
      <c r="Y644" s="38">
        <v>46</v>
      </c>
      <c r="Z644" s="38" t="s">
        <v>167</v>
      </c>
      <c r="AD644" s="38" t="s">
        <v>1491</v>
      </c>
      <c r="AE644" s="38" t="s">
        <v>1713</v>
      </c>
      <c r="AF644" s="152" t="s">
        <v>666</v>
      </c>
      <c r="AG644" s="38" t="s">
        <v>1768</v>
      </c>
      <c r="AH644" s="155" t="s">
        <v>1793</v>
      </c>
      <c r="AI644" s="38" t="s">
        <v>522</v>
      </c>
      <c r="AJ644" s="38" t="s">
        <v>522</v>
      </c>
      <c r="AK644" s="38" t="s">
        <v>212</v>
      </c>
      <c r="AO644" s="38" t="s">
        <v>418</v>
      </c>
      <c r="AP644" s="38" t="s">
        <v>523</v>
      </c>
      <c r="AQ644" s="38" t="s">
        <v>587</v>
      </c>
      <c r="AR644" s="38" t="s">
        <v>147</v>
      </c>
      <c r="AS644" s="38">
        <v>4</v>
      </c>
      <c r="AT644" s="38">
        <v>4</v>
      </c>
      <c r="AU644" s="38" t="s">
        <v>379</v>
      </c>
      <c r="AY644" s="64"/>
      <c r="DI644" s="38">
        <v>0.1033</v>
      </c>
      <c r="DJ644" s="38">
        <v>0.1086</v>
      </c>
      <c r="DK644" s="38" t="s">
        <v>525</v>
      </c>
      <c r="EJ644" s="12"/>
      <c r="EL644" s="15"/>
      <c r="FR644" s="38" t="s">
        <v>809</v>
      </c>
      <c r="FT644" s="38">
        <v>30</v>
      </c>
    </row>
    <row r="645" spans="1:176" s="38" customFormat="1" x14ac:dyDescent="0.25">
      <c r="A645" s="38">
        <v>30</v>
      </c>
      <c r="B645" s="38" t="s">
        <v>518</v>
      </c>
      <c r="C645" s="38" t="s">
        <v>519</v>
      </c>
      <c r="D645" s="38">
        <v>2002</v>
      </c>
      <c r="E645" s="38">
        <v>2000</v>
      </c>
      <c r="F645" s="38" t="s">
        <v>520</v>
      </c>
      <c r="G645" s="38" t="s">
        <v>521</v>
      </c>
      <c r="H645" s="38">
        <f t="shared" si="195"/>
        <v>38.533333333333331</v>
      </c>
      <c r="I645" s="38">
        <f t="shared" si="196"/>
        <v>-121.78333333333333</v>
      </c>
      <c r="J645" s="38">
        <v>18.399999999999999</v>
      </c>
      <c r="N645" s="38">
        <v>483</v>
      </c>
      <c r="P645" s="57">
        <v>4</v>
      </c>
      <c r="Q645" s="57"/>
      <c r="R645" s="57">
        <v>36535</v>
      </c>
      <c r="S645" s="57" t="s">
        <v>1573</v>
      </c>
      <c r="T645" s="57" t="s">
        <v>1571</v>
      </c>
      <c r="U645" s="57" t="s">
        <v>1593</v>
      </c>
      <c r="V645" s="57" t="s">
        <v>1913</v>
      </c>
      <c r="X645" s="38">
        <v>36</v>
      </c>
      <c r="Y645" s="38">
        <v>46</v>
      </c>
      <c r="Z645" s="38" t="s">
        <v>167</v>
      </c>
      <c r="AD645" s="38" t="s">
        <v>1491</v>
      </c>
      <c r="AE645" s="38" t="s">
        <v>1713</v>
      </c>
      <c r="AF645" s="152" t="s">
        <v>666</v>
      </c>
      <c r="AG645" s="38" t="s">
        <v>1768</v>
      </c>
      <c r="AH645" s="155" t="s">
        <v>1793</v>
      </c>
      <c r="AI645" s="38" t="s">
        <v>522</v>
      </c>
      <c r="AJ645" s="38" t="s">
        <v>522</v>
      </c>
      <c r="AK645" s="38" t="s">
        <v>212</v>
      </c>
      <c r="AO645" s="38" t="s">
        <v>418</v>
      </c>
      <c r="AP645" s="38" t="s">
        <v>524</v>
      </c>
      <c r="AQ645" s="38" t="s">
        <v>587</v>
      </c>
      <c r="AR645" s="38" t="s">
        <v>147</v>
      </c>
      <c r="AS645" s="38">
        <v>4</v>
      </c>
      <c r="AT645" s="38">
        <v>4</v>
      </c>
      <c r="AU645" s="38" t="s">
        <v>379</v>
      </c>
      <c r="AY645" s="64"/>
      <c r="DI645" s="38">
        <v>0.1033</v>
      </c>
      <c r="DJ645" s="38">
        <v>0.11219999999999999</v>
      </c>
      <c r="DK645" s="38" t="s">
        <v>525</v>
      </c>
      <c r="EJ645" s="12"/>
      <c r="EL645" s="15"/>
      <c r="FR645" s="38" t="s">
        <v>809</v>
      </c>
      <c r="FT645" s="38">
        <v>30</v>
      </c>
    </row>
    <row r="646" spans="1:176" s="38" customFormat="1" x14ac:dyDescent="0.25">
      <c r="A646" s="38">
        <v>30</v>
      </c>
      <c r="B646" s="38" t="s">
        <v>518</v>
      </c>
      <c r="C646" s="38" t="s">
        <v>519</v>
      </c>
      <c r="D646" s="38">
        <v>2002</v>
      </c>
      <c r="E646" s="38">
        <v>2000</v>
      </c>
      <c r="F646" s="38" t="s">
        <v>520</v>
      </c>
      <c r="G646" s="38" t="s">
        <v>521</v>
      </c>
      <c r="H646" s="38">
        <f t="shared" si="195"/>
        <v>38.533333333333331</v>
      </c>
      <c r="I646" s="38">
        <f t="shared" si="196"/>
        <v>-121.78333333333333</v>
      </c>
      <c r="J646" s="38">
        <v>18.399999999999999</v>
      </c>
      <c r="N646" s="38">
        <v>483</v>
      </c>
      <c r="P646" s="57">
        <v>4</v>
      </c>
      <c r="Q646" s="57"/>
      <c r="R646" s="57">
        <v>36541</v>
      </c>
      <c r="S646" s="57" t="s">
        <v>1573</v>
      </c>
      <c r="T646" s="57" t="s">
        <v>1571</v>
      </c>
      <c r="U646" s="57" t="s">
        <v>1593</v>
      </c>
      <c r="V646" s="57" t="s">
        <v>1913</v>
      </c>
      <c r="X646" s="38">
        <v>36</v>
      </c>
      <c r="Y646" s="38">
        <v>46</v>
      </c>
      <c r="Z646" s="38" t="s">
        <v>167</v>
      </c>
      <c r="AD646" s="38" t="s">
        <v>1491</v>
      </c>
      <c r="AE646" s="38" t="s">
        <v>1713</v>
      </c>
      <c r="AF646" s="152" t="s">
        <v>666</v>
      </c>
      <c r="AG646" s="38" t="s">
        <v>1768</v>
      </c>
      <c r="AH646" s="155" t="s">
        <v>1793</v>
      </c>
      <c r="AI646" s="38" t="s">
        <v>522</v>
      </c>
      <c r="AJ646" s="38" t="s">
        <v>522</v>
      </c>
      <c r="AK646" s="38" t="s">
        <v>212</v>
      </c>
      <c r="AO646" s="38" t="s">
        <v>418</v>
      </c>
      <c r="AP646" s="38" t="s">
        <v>523</v>
      </c>
      <c r="AQ646" s="38" t="s">
        <v>587</v>
      </c>
      <c r="AR646" s="38" t="s">
        <v>147</v>
      </c>
      <c r="AS646" s="38">
        <v>4</v>
      </c>
      <c r="AT646" s="38">
        <v>4</v>
      </c>
      <c r="AU646" s="38" t="s">
        <v>379</v>
      </c>
      <c r="AY646" s="64"/>
      <c r="DI646" s="38">
        <v>0.1024</v>
      </c>
      <c r="DJ646" s="38">
        <v>0.1095</v>
      </c>
      <c r="DK646" s="38" t="s">
        <v>525</v>
      </c>
      <c r="EJ646" s="12"/>
      <c r="EL646" s="15"/>
      <c r="FR646" s="38" t="s">
        <v>809</v>
      </c>
      <c r="FT646" s="38">
        <v>30</v>
      </c>
    </row>
    <row r="647" spans="1:176" s="38" customFormat="1" x14ac:dyDescent="0.25">
      <c r="A647" s="38">
        <v>30</v>
      </c>
      <c r="B647" s="38" t="s">
        <v>518</v>
      </c>
      <c r="C647" s="38" t="s">
        <v>519</v>
      </c>
      <c r="D647" s="38">
        <v>2002</v>
      </c>
      <c r="E647" s="38">
        <v>2000</v>
      </c>
      <c r="F647" s="38" t="s">
        <v>520</v>
      </c>
      <c r="G647" s="38" t="s">
        <v>521</v>
      </c>
      <c r="H647" s="38">
        <f t="shared" si="195"/>
        <v>38.533333333333331</v>
      </c>
      <c r="I647" s="38">
        <f t="shared" si="196"/>
        <v>-121.78333333333333</v>
      </c>
      <c r="J647" s="38">
        <v>18.399999999999999</v>
      </c>
      <c r="N647" s="38">
        <v>483</v>
      </c>
      <c r="P647" s="57">
        <v>4</v>
      </c>
      <c r="Q647" s="57"/>
      <c r="R647" s="57">
        <v>36541</v>
      </c>
      <c r="S647" s="57" t="s">
        <v>1573</v>
      </c>
      <c r="T647" s="57" t="s">
        <v>1571</v>
      </c>
      <c r="U647" s="57" t="s">
        <v>1593</v>
      </c>
      <c r="V647" s="57" t="s">
        <v>1913</v>
      </c>
      <c r="X647" s="38">
        <v>36</v>
      </c>
      <c r="Y647" s="38">
        <v>46</v>
      </c>
      <c r="Z647" s="38" t="s">
        <v>167</v>
      </c>
      <c r="AD647" s="38" t="s">
        <v>1491</v>
      </c>
      <c r="AE647" s="38" t="s">
        <v>1713</v>
      </c>
      <c r="AF647" s="152" t="s">
        <v>666</v>
      </c>
      <c r="AG647" s="38" t="s">
        <v>1768</v>
      </c>
      <c r="AH647" s="155" t="s">
        <v>1793</v>
      </c>
      <c r="AI647" s="38" t="s">
        <v>522</v>
      </c>
      <c r="AJ647" s="38" t="s">
        <v>522</v>
      </c>
      <c r="AK647" s="38" t="s">
        <v>212</v>
      </c>
      <c r="AO647" s="38" t="s">
        <v>418</v>
      </c>
      <c r="AP647" s="38" t="s">
        <v>524</v>
      </c>
      <c r="AQ647" s="38" t="s">
        <v>587</v>
      </c>
      <c r="AR647" s="38" t="s">
        <v>147</v>
      </c>
      <c r="AS647" s="38">
        <v>4</v>
      </c>
      <c r="AT647" s="38">
        <v>4</v>
      </c>
      <c r="AU647" s="38" t="s">
        <v>379</v>
      </c>
      <c r="AY647" s="64"/>
      <c r="DI647" s="38">
        <v>0.1024</v>
      </c>
      <c r="DJ647" s="38">
        <v>0.1095</v>
      </c>
      <c r="DK647" s="38" t="s">
        <v>525</v>
      </c>
      <c r="EJ647" s="12"/>
      <c r="EL647" s="15"/>
      <c r="FR647" s="38" t="s">
        <v>809</v>
      </c>
      <c r="FT647" s="38">
        <v>30</v>
      </c>
    </row>
    <row r="648" spans="1:176" s="38" customFormat="1" x14ac:dyDescent="0.25">
      <c r="A648" s="38">
        <v>30</v>
      </c>
      <c r="B648" s="38" t="s">
        <v>518</v>
      </c>
      <c r="C648" s="38" t="s">
        <v>519</v>
      </c>
      <c r="D648" s="38">
        <v>2002</v>
      </c>
      <c r="E648" s="38">
        <v>2000</v>
      </c>
      <c r="F648" s="38" t="s">
        <v>520</v>
      </c>
      <c r="G648" s="38" t="s">
        <v>521</v>
      </c>
      <c r="H648" s="38">
        <f t="shared" si="195"/>
        <v>38.533333333333331</v>
      </c>
      <c r="I648" s="38">
        <f t="shared" si="196"/>
        <v>-121.78333333333333</v>
      </c>
      <c r="J648" s="38">
        <v>18.399999999999999</v>
      </c>
      <c r="N648" s="38">
        <v>483</v>
      </c>
      <c r="P648" s="57">
        <v>4</v>
      </c>
      <c r="Q648" s="57"/>
      <c r="R648" s="57">
        <v>36549</v>
      </c>
      <c r="S648" s="57" t="s">
        <v>1573</v>
      </c>
      <c r="T648" s="57" t="s">
        <v>1571</v>
      </c>
      <c r="U648" s="57" t="s">
        <v>1593</v>
      </c>
      <c r="V648" s="57" t="s">
        <v>1913</v>
      </c>
      <c r="X648" s="38">
        <v>36</v>
      </c>
      <c r="Y648" s="38">
        <v>46</v>
      </c>
      <c r="Z648" s="38" t="s">
        <v>167</v>
      </c>
      <c r="AD648" s="38" t="s">
        <v>1491</v>
      </c>
      <c r="AE648" s="38" t="s">
        <v>1713</v>
      </c>
      <c r="AF648" s="152" t="s">
        <v>666</v>
      </c>
      <c r="AG648" s="38" t="s">
        <v>1768</v>
      </c>
      <c r="AH648" s="155" t="s">
        <v>1793</v>
      </c>
      <c r="AI648" s="38" t="s">
        <v>522</v>
      </c>
      <c r="AJ648" s="38" t="s">
        <v>522</v>
      </c>
      <c r="AK648" s="38" t="s">
        <v>212</v>
      </c>
      <c r="AO648" s="38" t="s">
        <v>418</v>
      </c>
      <c r="AP648" s="38" t="s">
        <v>523</v>
      </c>
      <c r="AQ648" s="38" t="s">
        <v>587</v>
      </c>
      <c r="AR648" s="38" t="s">
        <v>147</v>
      </c>
      <c r="AS648" s="38">
        <v>4</v>
      </c>
      <c r="AT648" s="38">
        <v>4</v>
      </c>
      <c r="AU648" s="38" t="s">
        <v>379</v>
      </c>
      <c r="AY648" s="64"/>
      <c r="DI648" s="38">
        <v>0.10589999999999999</v>
      </c>
      <c r="DJ648" s="38">
        <v>0.1086</v>
      </c>
      <c r="DK648" s="38" t="s">
        <v>525</v>
      </c>
      <c r="EJ648" s="12"/>
      <c r="EL648" s="15"/>
      <c r="FR648" s="38" t="s">
        <v>809</v>
      </c>
      <c r="FT648" s="38">
        <v>30</v>
      </c>
    </row>
    <row r="649" spans="1:176" s="38" customFormat="1" x14ac:dyDescent="0.25">
      <c r="A649" s="38">
        <v>30</v>
      </c>
      <c r="B649" s="38" t="s">
        <v>518</v>
      </c>
      <c r="C649" s="38" t="s">
        <v>519</v>
      </c>
      <c r="D649" s="38">
        <v>2002</v>
      </c>
      <c r="E649" s="38">
        <v>2000</v>
      </c>
      <c r="F649" s="38" t="s">
        <v>520</v>
      </c>
      <c r="G649" s="38" t="s">
        <v>521</v>
      </c>
      <c r="H649" s="38">
        <f t="shared" si="195"/>
        <v>38.533333333333331</v>
      </c>
      <c r="I649" s="38">
        <f t="shared" si="196"/>
        <v>-121.78333333333333</v>
      </c>
      <c r="J649" s="38">
        <v>18.399999999999999</v>
      </c>
      <c r="N649" s="38">
        <v>483</v>
      </c>
      <c r="P649" s="57">
        <v>4</v>
      </c>
      <c r="Q649" s="57"/>
      <c r="R649" s="57">
        <v>36549</v>
      </c>
      <c r="S649" s="57" t="s">
        <v>1573</v>
      </c>
      <c r="T649" s="57" t="s">
        <v>1571</v>
      </c>
      <c r="U649" s="57" t="s">
        <v>1593</v>
      </c>
      <c r="V649" s="57" t="s">
        <v>1913</v>
      </c>
      <c r="X649" s="38">
        <v>36</v>
      </c>
      <c r="Y649" s="38">
        <v>46</v>
      </c>
      <c r="Z649" s="38" t="s">
        <v>167</v>
      </c>
      <c r="AD649" s="38" t="s">
        <v>1491</v>
      </c>
      <c r="AE649" s="38" t="s">
        <v>1713</v>
      </c>
      <c r="AF649" s="152" t="s">
        <v>666</v>
      </c>
      <c r="AG649" s="38" t="s">
        <v>1768</v>
      </c>
      <c r="AH649" s="155" t="s">
        <v>1793</v>
      </c>
      <c r="AI649" s="38" t="s">
        <v>522</v>
      </c>
      <c r="AJ649" s="38" t="s">
        <v>522</v>
      </c>
      <c r="AK649" s="38" t="s">
        <v>212</v>
      </c>
      <c r="AO649" s="38" t="s">
        <v>418</v>
      </c>
      <c r="AP649" s="38" t="s">
        <v>524</v>
      </c>
      <c r="AQ649" s="38" t="s">
        <v>587</v>
      </c>
      <c r="AR649" s="38" t="s">
        <v>147</v>
      </c>
      <c r="AS649" s="38">
        <v>4</v>
      </c>
      <c r="AT649" s="38">
        <v>4</v>
      </c>
      <c r="AU649" s="38" t="s">
        <v>379</v>
      </c>
      <c r="AY649" s="64"/>
      <c r="DI649" s="38">
        <v>0.10589999999999999</v>
      </c>
      <c r="DJ649" s="38">
        <v>0.1086</v>
      </c>
      <c r="DK649" s="38" t="s">
        <v>525</v>
      </c>
      <c r="EJ649" s="12"/>
      <c r="EL649" s="15"/>
      <c r="FR649" s="38" t="s">
        <v>809</v>
      </c>
      <c r="FT649" s="38">
        <v>30</v>
      </c>
    </row>
    <row r="650" spans="1:176" s="38" customFormat="1" x14ac:dyDescent="0.25">
      <c r="A650" s="38">
        <v>30</v>
      </c>
      <c r="B650" s="38" t="s">
        <v>518</v>
      </c>
      <c r="C650" s="38" t="s">
        <v>519</v>
      </c>
      <c r="D650" s="38">
        <v>2002</v>
      </c>
      <c r="E650" s="38">
        <v>2000</v>
      </c>
      <c r="F650" s="38" t="s">
        <v>520</v>
      </c>
      <c r="G650" s="38" t="s">
        <v>521</v>
      </c>
      <c r="H650" s="38">
        <f t="shared" si="195"/>
        <v>38.533333333333331</v>
      </c>
      <c r="I650" s="38">
        <f t="shared" si="196"/>
        <v>-121.78333333333333</v>
      </c>
      <c r="J650" s="38">
        <v>18.399999999999999</v>
      </c>
      <c r="N650" s="38">
        <v>483</v>
      </c>
      <c r="P650" s="57">
        <v>4</v>
      </c>
      <c r="Q650" s="57"/>
      <c r="R650" s="57">
        <v>36562</v>
      </c>
      <c r="S650" s="57" t="s">
        <v>1573</v>
      </c>
      <c r="T650" s="57" t="s">
        <v>1571</v>
      </c>
      <c r="U650" s="57" t="s">
        <v>1593</v>
      </c>
      <c r="V650" s="57" t="s">
        <v>1913</v>
      </c>
      <c r="X650" s="38">
        <v>36</v>
      </c>
      <c r="Y650" s="38">
        <v>46</v>
      </c>
      <c r="Z650" s="38" t="s">
        <v>167</v>
      </c>
      <c r="AD650" s="38" t="s">
        <v>1491</v>
      </c>
      <c r="AE650" s="38" t="s">
        <v>1713</v>
      </c>
      <c r="AF650" s="152" t="s">
        <v>666</v>
      </c>
      <c r="AG650" s="38" t="s">
        <v>1768</v>
      </c>
      <c r="AH650" s="155" t="s">
        <v>1793</v>
      </c>
      <c r="AI650" s="38" t="s">
        <v>522</v>
      </c>
      <c r="AJ650" s="38" t="s">
        <v>522</v>
      </c>
      <c r="AK650" s="38" t="s">
        <v>212</v>
      </c>
      <c r="AO650" s="38" t="s">
        <v>418</v>
      </c>
      <c r="AP650" s="38" t="s">
        <v>523</v>
      </c>
      <c r="AQ650" s="38" t="s">
        <v>587</v>
      </c>
      <c r="AR650" s="38" t="s">
        <v>147</v>
      </c>
      <c r="AS650" s="38">
        <v>4</v>
      </c>
      <c r="AT650" s="38">
        <v>4</v>
      </c>
      <c r="AU650" s="38" t="s">
        <v>379</v>
      </c>
      <c r="AY650" s="64"/>
      <c r="DI650" s="38">
        <v>0.11310000000000001</v>
      </c>
      <c r="DJ650" s="38">
        <v>0.11310000000000001</v>
      </c>
      <c r="DK650" s="38" t="s">
        <v>525</v>
      </c>
      <c r="EJ650" s="12"/>
      <c r="EL650" s="15"/>
      <c r="FR650" s="38" t="s">
        <v>809</v>
      </c>
      <c r="FT650" s="38">
        <v>30</v>
      </c>
    </row>
    <row r="651" spans="1:176" s="38" customFormat="1" x14ac:dyDescent="0.25">
      <c r="A651" s="38">
        <v>30</v>
      </c>
      <c r="B651" s="38" t="s">
        <v>518</v>
      </c>
      <c r="C651" s="38" t="s">
        <v>519</v>
      </c>
      <c r="D651" s="38">
        <v>2002</v>
      </c>
      <c r="E651" s="38">
        <v>2000</v>
      </c>
      <c r="F651" s="38" t="s">
        <v>520</v>
      </c>
      <c r="G651" s="38" t="s">
        <v>521</v>
      </c>
      <c r="H651" s="38">
        <f t="shared" si="195"/>
        <v>38.533333333333331</v>
      </c>
      <c r="I651" s="38">
        <f t="shared" si="196"/>
        <v>-121.78333333333333</v>
      </c>
      <c r="J651" s="38">
        <v>18.399999999999999</v>
      </c>
      <c r="N651" s="38">
        <v>483</v>
      </c>
      <c r="P651" s="57">
        <v>4</v>
      </c>
      <c r="Q651" s="57"/>
      <c r="R651" s="57">
        <v>36562</v>
      </c>
      <c r="S651" s="57" t="s">
        <v>1573</v>
      </c>
      <c r="T651" s="57" t="s">
        <v>1571</v>
      </c>
      <c r="U651" s="57" t="s">
        <v>1593</v>
      </c>
      <c r="V651" s="57" t="s">
        <v>1913</v>
      </c>
      <c r="X651" s="38">
        <v>36</v>
      </c>
      <c r="Y651" s="38">
        <v>46</v>
      </c>
      <c r="Z651" s="38" t="s">
        <v>167</v>
      </c>
      <c r="AD651" s="38" t="s">
        <v>1491</v>
      </c>
      <c r="AE651" s="38" t="s">
        <v>1713</v>
      </c>
      <c r="AF651" s="152" t="s">
        <v>666</v>
      </c>
      <c r="AG651" s="38" t="s">
        <v>1768</v>
      </c>
      <c r="AH651" s="155" t="s">
        <v>1793</v>
      </c>
      <c r="AI651" s="38" t="s">
        <v>522</v>
      </c>
      <c r="AJ651" s="38" t="s">
        <v>522</v>
      </c>
      <c r="AK651" s="38" t="s">
        <v>212</v>
      </c>
      <c r="AO651" s="38" t="s">
        <v>418</v>
      </c>
      <c r="AP651" s="38" t="s">
        <v>524</v>
      </c>
      <c r="AQ651" s="38" t="s">
        <v>587</v>
      </c>
      <c r="AR651" s="38" t="s">
        <v>147</v>
      </c>
      <c r="AS651" s="38">
        <v>4</v>
      </c>
      <c r="AT651" s="38">
        <v>4</v>
      </c>
      <c r="AU651" s="38" t="s">
        <v>379</v>
      </c>
      <c r="AY651" s="64"/>
      <c r="DI651" s="38">
        <v>0.11310000000000001</v>
      </c>
      <c r="DJ651" s="38">
        <v>0.11310000000000001</v>
      </c>
      <c r="DK651" s="38" t="s">
        <v>525</v>
      </c>
      <c r="EJ651" s="12"/>
      <c r="EL651" s="15"/>
      <c r="FR651" s="38" t="s">
        <v>809</v>
      </c>
      <c r="FT651" s="38">
        <v>30</v>
      </c>
    </row>
    <row r="652" spans="1:176" s="38" customFormat="1" x14ac:dyDescent="0.25">
      <c r="A652" s="38">
        <v>30</v>
      </c>
      <c r="B652" s="38" t="s">
        <v>518</v>
      </c>
      <c r="C652" s="38" t="s">
        <v>519</v>
      </c>
      <c r="D652" s="38">
        <v>2002</v>
      </c>
      <c r="E652" s="38">
        <v>2000</v>
      </c>
      <c r="F652" s="38" t="s">
        <v>520</v>
      </c>
      <c r="G652" s="38" t="s">
        <v>521</v>
      </c>
      <c r="H652" s="38">
        <f t="shared" si="195"/>
        <v>38.533333333333331</v>
      </c>
      <c r="I652" s="38">
        <f t="shared" si="196"/>
        <v>-121.78333333333333</v>
      </c>
      <c r="J652" s="38">
        <v>18.399999999999999</v>
      </c>
      <c r="N652" s="38">
        <v>483</v>
      </c>
      <c r="P652" s="57">
        <v>4</v>
      </c>
      <c r="Q652" s="57"/>
      <c r="R652" s="57">
        <v>36566</v>
      </c>
      <c r="S652" s="57" t="s">
        <v>1573</v>
      </c>
      <c r="T652" s="57" t="s">
        <v>1571</v>
      </c>
      <c r="U652" s="57" t="s">
        <v>1593</v>
      </c>
      <c r="V652" s="57" t="s">
        <v>1913</v>
      </c>
      <c r="X652" s="38">
        <v>36</v>
      </c>
      <c r="Y652" s="38">
        <v>46</v>
      </c>
      <c r="Z652" s="38" t="s">
        <v>167</v>
      </c>
      <c r="AD652" s="38" t="s">
        <v>1491</v>
      </c>
      <c r="AE652" s="38" t="s">
        <v>1713</v>
      </c>
      <c r="AF652" s="152" t="s">
        <v>666</v>
      </c>
      <c r="AG652" s="38" t="s">
        <v>1768</v>
      </c>
      <c r="AH652" s="155" t="s">
        <v>1793</v>
      </c>
      <c r="AI652" s="38" t="s">
        <v>522</v>
      </c>
      <c r="AJ652" s="38" t="s">
        <v>522</v>
      </c>
      <c r="AK652" s="38" t="s">
        <v>212</v>
      </c>
      <c r="AO652" s="38" t="s">
        <v>418</v>
      </c>
      <c r="AP652" s="38" t="s">
        <v>523</v>
      </c>
      <c r="AQ652" s="38" t="s">
        <v>587</v>
      </c>
      <c r="AR652" s="38" t="s">
        <v>147</v>
      </c>
      <c r="AS652" s="38">
        <v>4</v>
      </c>
      <c r="AT652" s="38">
        <v>4</v>
      </c>
      <c r="AU652" s="38" t="s">
        <v>379</v>
      </c>
      <c r="AY652" s="64"/>
      <c r="DI652" s="38">
        <v>0.113</v>
      </c>
      <c r="DJ652" s="38">
        <v>0.114</v>
      </c>
      <c r="DK652" s="38" t="s">
        <v>525</v>
      </c>
      <c r="EJ652" s="12"/>
      <c r="EL652" s="15"/>
      <c r="FR652" s="38" t="s">
        <v>809</v>
      </c>
      <c r="FT652" s="38">
        <v>30</v>
      </c>
    </row>
    <row r="653" spans="1:176" s="38" customFormat="1" x14ac:dyDescent="0.25">
      <c r="A653" s="38">
        <v>30</v>
      </c>
      <c r="B653" s="38" t="s">
        <v>518</v>
      </c>
      <c r="C653" s="38" t="s">
        <v>519</v>
      </c>
      <c r="D653" s="38">
        <v>2002</v>
      </c>
      <c r="E653" s="38">
        <v>2000</v>
      </c>
      <c r="F653" s="38" t="s">
        <v>520</v>
      </c>
      <c r="G653" s="38" t="s">
        <v>521</v>
      </c>
      <c r="H653" s="38">
        <f t="shared" si="195"/>
        <v>38.533333333333331</v>
      </c>
      <c r="I653" s="38">
        <f t="shared" si="196"/>
        <v>-121.78333333333333</v>
      </c>
      <c r="J653" s="38">
        <v>18.399999999999999</v>
      </c>
      <c r="N653" s="38">
        <v>483</v>
      </c>
      <c r="P653" s="57">
        <v>4</v>
      </c>
      <c r="Q653" s="57"/>
      <c r="R653" s="57">
        <v>36566</v>
      </c>
      <c r="S653" s="57" t="s">
        <v>1573</v>
      </c>
      <c r="T653" s="57" t="s">
        <v>1571</v>
      </c>
      <c r="U653" s="57" t="s">
        <v>1593</v>
      </c>
      <c r="V653" s="57" t="s">
        <v>1913</v>
      </c>
      <c r="X653" s="38">
        <v>36</v>
      </c>
      <c r="Y653" s="38">
        <v>46</v>
      </c>
      <c r="Z653" s="38" t="s">
        <v>167</v>
      </c>
      <c r="AD653" s="38" t="s">
        <v>1491</v>
      </c>
      <c r="AE653" s="38" t="s">
        <v>1713</v>
      </c>
      <c r="AF653" s="152" t="s">
        <v>666</v>
      </c>
      <c r="AG653" s="38" t="s">
        <v>1768</v>
      </c>
      <c r="AH653" s="155" t="s">
        <v>1793</v>
      </c>
      <c r="AI653" s="38" t="s">
        <v>522</v>
      </c>
      <c r="AJ653" s="38" t="s">
        <v>522</v>
      </c>
      <c r="AK653" s="38" t="s">
        <v>212</v>
      </c>
      <c r="AO653" s="38" t="s">
        <v>418</v>
      </c>
      <c r="AP653" s="38" t="s">
        <v>524</v>
      </c>
      <c r="AQ653" s="38" t="s">
        <v>587</v>
      </c>
      <c r="AR653" s="38" t="s">
        <v>147</v>
      </c>
      <c r="AS653" s="38">
        <v>4</v>
      </c>
      <c r="AT653" s="38">
        <v>4</v>
      </c>
      <c r="AU653" s="38" t="s">
        <v>379</v>
      </c>
      <c r="AY653" s="64"/>
      <c r="DI653" s="38">
        <v>0.113</v>
      </c>
      <c r="DJ653" s="38">
        <v>0.112</v>
      </c>
      <c r="DK653" s="38" t="s">
        <v>525</v>
      </c>
      <c r="EJ653" s="12"/>
      <c r="EL653" s="15"/>
      <c r="FR653" s="38" t="s">
        <v>809</v>
      </c>
      <c r="FT653" s="38">
        <v>30</v>
      </c>
    </row>
    <row r="654" spans="1:176" s="38" customFormat="1" x14ac:dyDescent="0.25">
      <c r="A654" s="38">
        <v>30</v>
      </c>
      <c r="B654" s="38" t="s">
        <v>518</v>
      </c>
      <c r="C654" s="38" t="s">
        <v>519</v>
      </c>
      <c r="D654" s="38">
        <v>2002</v>
      </c>
      <c r="E654" s="38">
        <v>2000</v>
      </c>
      <c r="F654" s="38" t="s">
        <v>520</v>
      </c>
      <c r="G654" s="38" t="s">
        <v>521</v>
      </c>
      <c r="H654" s="38">
        <f t="shared" si="195"/>
        <v>38.533333333333331</v>
      </c>
      <c r="I654" s="38">
        <f t="shared" si="196"/>
        <v>-121.78333333333333</v>
      </c>
      <c r="J654" s="38">
        <v>18.399999999999999</v>
      </c>
      <c r="N654" s="38">
        <v>483</v>
      </c>
      <c r="P654" s="57">
        <v>4</v>
      </c>
      <c r="Q654" s="57"/>
      <c r="R654" s="57">
        <v>36572</v>
      </c>
      <c r="S654" s="57" t="s">
        <v>1573</v>
      </c>
      <c r="T654" s="57" t="s">
        <v>1571</v>
      </c>
      <c r="U654" s="57" t="s">
        <v>1593</v>
      </c>
      <c r="V654" s="57" t="s">
        <v>1913</v>
      </c>
      <c r="X654" s="38">
        <v>36</v>
      </c>
      <c r="Y654" s="38">
        <v>46</v>
      </c>
      <c r="Z654" s="38" t="s">
        <v>167</v>
      </c>
      <c r="AD654" s="38" t="s">
        <v>1491</v>
      </c>
      <c r="AE654" s="38" t="s">
        <v>1713</v>
      </c>
      <c r="AF654" s="152" t="s">
        <v>666</v>
      </c>
      <c r="AG654" s="38" t="s">
        <v>1768</v>
      </c>
      <c r="AH654" s="155" t="s">
        <v>1793</v>
      </c>
      <c r="AI654" s="38" t="s">
        <v>522</v>
      </c>
      <c r="AJ654" s="38" t="s">
        <v>522</v>
      </c>
      <c r="AK654" s="38" t="s">
        <v>212</v>
      </c>
      <c r="AO654" s="38" t="s">
        <v>418</v>
      </c>
      <c r="AP654" s="38" t="s">
        <v>523</v>
      </c>
      <c r="AQ654" s="38" t="s">
        <v>587</v>
      </c>
      <c r="AR654" s="38" t="s">
        <v>147</v>
      </c>
      <c r="AS654" s="38">
        <v>4</v>
      </c>
      <c r="AT654" s="38">
        <v>4</v>
      </c>
      <c r="AU654" s="38" t="s">
        <v>379</v>
      </c>
      <c r="AY654" s="64"/>
      <c r="DI654" s="38">
        <v>0.1318</v>
      </c>
      <c r="DJ654" s="38">
        <v>0.1318</v>
      </c>
      <c r="DK654" s="38" t="s">
        <v>525</v>
      </c>
      <c r="EJ654" s="12"/>
      <c r="EL654" s="15"/>
      <c r="FR654" s="38" t="s">
        <v>809</v>
      </c>
      <c r="FT654" s="38">
        <v>30</v>
      </c>
    </row>
    <row r="655" spans="1:176" s="38" customFormat="1" x14ac:dyDescent="0.25">
      <c r="A655" s="38">
        <v>30</v>
      </c>
      <c r="B655" s="38" t="s">
        <v>518</v>
      </c>
      <c r="C655" s="38" t="s">
        <v>519</v>
      </c>
      <c r="D655" s="38">
        <v>2002</v>
      </c>
      <c r="E655" s="38">
        <v>2000</v>
      </c>
      <c r="F655" s="38" t="s">
        <v>520</v>
      </c>
      <c r="G655" s="38" t="s">
        <v>521</v>
      </c>
      <c r="H655" s="38">
        <f t="shared" si="195"/>
        <v>38.533333333333331</v>
      </c>
      <c r="I655" s="38">
        <f t="shared" si="196"/>
        <v>-121.78333333333333</v>
      </c>
      <c r="J655" s="38">
        <v>18.399999999999999</v>
      </c>
      <c r="N655" s="38">
        <v>483</v>
      </c>
      <c r="P655" s="57">
        <v>4</v>
      </c>
      <c r="Q655" s="57"/>
      <c r="R655" s="57">
        <v>36572</v>
      </c>
      <c r="S655" s="57" t="s">
        <v>1573</v>
      </c>
      <c r="T655" s="57" t="s">
        <v>1571</v>
      </c>
      <c r="U655" s="57" t="s">
        <v>1593</v>
      </c>
      <c r="V655" s="57" t="s">
        <v>1913</v>
      </c>
      <c r="X655" s="38">
        <v>36</v>
      </c>
      <c r="Y655" s="38">
        <v>46</v>
      </c>
      <c r="Z655" s="38" t="s">
        <v>167</v>
      </c>
      <c r="AD655" s="38" t="s">
        <v>1491</v>
      </c>
      <c r="AE655" s="38" t="s">
        <v>1713</v>
      </c>
      <c r="AF655" s="152" t="s">
        <v>666</v>
      </c>
      <c r="AG655" s="38" t="s">
        <v>1768</v>
      </c>
      <c r="AH655" s="155" t="s">
        <v>1793</v>
      </c>
      <c r="AI655" s="38" t="s">
        <v>522</v>
      </c>
      <c r="AJ655" s="38" t="s">
        <v>522</v>
      </c>
      <c r="AK655" s="38" t="s">
        <v>212</v>
      </c>
      <c r="AO655" s="38" t="s">
        <v>418</v>
      </c>
      <c r="AP655" s="38" t="s">
        <v>524</v>
      </c>
      <c r="AQ655" s="38" t="s">
        <v>587</v>
      </c>
      <c r="AR655" s="38" t="s">
        <v>147</v>
      </c>
      <c r="AS655" s="38">
        <v>4</v>
      </c>
      <c r="AT655" s="38">
        <v>4</v>
      </c>
      <c r="AU655" s="38" t="s">
        <v>379</v>
      </c>
      <c r="AY655" s="64"/>
      <c r="DI655" s="38">
        <v>0.1318</v>
      </c>
      <c r="DJ655" s="38">
        <v>0.14699999999999999</v>
      </c>
      <c r="DK655" s="38" t="s">
        <v>525</v>
      </c>
      <c r="EJ655" s="12"/>
      <c r="EL655" s="15"/>
      <c r="FR655" s="38" t="s">
        <v>809</v>
      </c>
      <c r="FT655" s="38">
        <v>30</v>
      </c>
    </row>
    <row r="656" spans="1:176" s="38" customFormat="1" x14ac:dyDescent="0.25">
      <c r="A656" s="38">
        <v>30</v>
      </c>
      <c r="B656" s="38" t="s">
        <v>518</v>
      </c>
      <c r="C656" s="38" t="s">
        <v>519</v>
      </c>
      <c r="D656" s="38">
        <v>2002</v>
      </c>
      <c r="E656" s="38">
        <v>2000</v>
      </c>
      <c r="F656" s="38" t="s">
        <v>520</v>
      </c>
      <c r="G656" s="38" t="s">
        <v>521</v>
      </c>
      <c r="H656" s="38">
        <f t="shared" si="195"/>
        <v>38.533333333333331</v>
      </c>
      <c r="I656" s="38">
        <f t="shared" si="196"/>
        <v>-121.78333333333333</v>
      </c>
      <c r="J656" s="38">
        <v>18.399999999999999</v>
      </c>
      <c r="N656" s="38">
        <v>483</v>
      </c>
      <c r="P656" s="57">
        <v>4</v>
      </c>
      <c r="Q656" s="57"/>
      <c r="R656" s="57">
        <v>36582</v>
      </c>
      <c r="S656" s="57" t="s">
        <v>1573</v>
      </c>
      <c r="T656" s="57" t="s">
        <v>1571</v>
      </c>
      <c r="U656" s="57" t="s">
        <v>1593</v>
      </c>
      <c r="V656" s="57" t="s">
        <v>1913</v>
      </c>
      <c r="X656" s="38">
        <v>36</v>
      </c>
      <c r="Y656" s="38">
        <v>46</v>
      </c>
      <c r="Z656" s="38" t="s">
        <v>167</v>
      </c>
      <c r="AD656" s="38" t="s">
        <v>1491</v>
      </c>
      <c r="AE656" s="38" t="s">
        <v>1713</v>
      </c>
      <c r="AF656" s="152" t="s">
        <v>666</v>
      </c>
      <c r="AG656" s="38" t="s">
        <v>1768</v>
      </c>
      <c r="AH656" s="155" t="s">
        <v>1793</v>
      </c>
      <c r="AI656" s="38" t="s">
        <v>522</v>
      </c>
      <c r="AJ656" s="38" t="s">
        <v>522</v>
      </c>
      <c r="AK656" s="38" t="s">
        <v>212</v>
      </c>
      <c r="AO656" s="38" t="s">
        <v>418</v>
      </c>
      <c r="AP656" s="38" t="s">
        <v>523</v>
      </c>
      <c r="AQ656" s="38" t="s">
        <v>587</v>
      </c>
      <c r="AR656" s="38" t="s">
        <v>147</v>
      </c>
      <c r="AS656" s="38">
        <v>4</v>
      </c>
      <c r="AT656" s="38">
        <v>4</v>
      </c>
      <c r="AU656" s="38" t="s">
        <v>379</v>
      </c>
      <c r="AY656" s="64"/>
      <c r="DI656" s="38">
        <v>0.14610000000000001</v>
      </c>
      <c r="DJ656" s="38">
        <v>0.16400000000000001</v>
      </c>
      <c r="DK656" s="38" t="s">
        <v>525</v>
      </c>
      <c r="EJ656" s="12"/>
      <c r="EL656" s="15"/>
      <c r="FR656" s="38" t="s">
        <v>809</v>
      </c>
      <c r="FT656" s="38">
        <v>30</v>
      </c>
    </row>
    <row r="657" spans="1:176" s="38" customFormat="1" x14ac:dyDescent="0.25">
      <c r="A657" s="38">
        <v>30</v>
      </c>
      <c r="B657" s="38" t="s">
        <v>518</v>
      </c>
      <c r="C657" s="38" t="s">
        <v>519</v>
      </c>
      <c r="D657" s="38">
        <v>2002</v>
      </c>
      <c r="E657" s="38">
        <v>2000</v>
      </c>
      <c r="F657" s="38" t="s">
        <v>520</v>
      </c>
      <c r="G657" s="38" t="s">
        <v>521</v>
      </c>
      <c r="H657" s="38">
        <f t="shared" si="195"/>
        <v>38.533333333333331</v>
      </c>
      <c r="I657" s="38">
        <f t="shared" si="196"/>
        <v>-121.78333333333333</v>
      </c>
      <c r="J657" s="38">
        <v>18.399999999999999</v>
      </c>
      <c r="N657" s="38">
        <v>483</v>
      </c>
      <c r="P657" s="57">
        <v>4</v>
      </c>
      <c r="Q657" s="57"/>
      <c r="R657" s="57">
        <v>36582</v>
      </c>
      <c r="S657" s="57" t="s">
        <v>1573</v>
      </c>
      <c r="T657" s="57" t="s">
        <v>1571</v>
      </c>
      <c r="U657" s="57" t="s">
        <v>1593</v>
      </c>
      <c r="V657" s="57" t="s">
        <v>1913</v>
      </c>
      <c r="X657" s="38">
        <v>36</v>
      </c>
      <c r="Y657" s="38">
        <v>46</v>
      </c>
      <c r="Z657" s="38" t="s">
        <v>167</v>
      </c>
      <c r="AD657" s="38" t="s">
        <v>1491</v>
      </c>
      <c r="AE657" s="38" t="s">
        <v>1713</v>
      </c>
      <c r="AF657" s="152" t="s">
        <v>666</v>
      </c>
      <c r="AG657" s="38" t="s">
        <v>1768</v>
      </c>
      <c r="AH657" s="155" t="s">
        <v>1793</v>
      </c>
      <c r="AI657" s="38" t="s">
        <v>522</v>
      </c>
      <c r="AJ657" s="38" t="s">
        <v>522</v>
      </c>
      <c r="AK657" s="38" t="s">
        <v>212</v>
      </c>
      <c r="AO657" s="38" t="s">
        <v>418</v>
      </c>
      <c r="AP657" s="38" t="s">
        <v>524</v>
      </c>
      <c r="AQ657" s="38" t="s">
        <v>587</v>
      </c>
      <c r="AR657" s="38" t="s">
        <v>147</v>
      </c>
      <c r="AS657" s="38">
        <v>4</v>
      </c>
      <c r="AT657" s="38">
        <v>4</v>
      </c>
      <c r="AU657" s="38" t="s">
        <v>379</v>
      </c>
      <c r="AY657" s="64"/>
      <c r="DI657" s="38">
        <v>0.14610000000000001</v>
      </c>
      <c r="DJ657" s="38">
        <v>0.1658</v>
      </c>
      <c r="DK657" s="38" t="s">
        <v>525</v>
      </c>
      <c r="EJ657" s="12"/>
      <c r="EL657" s="15"/>
      <c r="FR657" s="38" t="s">
        <v>809</v>
      </c>
      <c r="FT657" s="38">
        <v>30</v>
      </c>
    </row>
    <row r="658" spans="1:176" s="38" customFormat="1" x14ac:dyDescent="0.25">
      <c r="A658" s="38">
        <v>30</v>
      </c>
      <c r="B658" s="38" t="s">
        <v>518</v>
      </c>
      <c r="C658" s="38" t="s">
        <v>519</v>
      </c>
      <c r="D658" s="38">
        <v>2002</v>
      </c>
      <c r="E658" s="38">
        <v>2000</v>
      </c>
      <c r="F658" s="38" t="s">
        <v>520</v>
      </c>
      <c r="G658" s="38" t="s">
        <v>521</v>
      </c>
      <c r="H658" s="38">
        <f t="shared" si="195"/>
        <v>38.533333333333331</v>
      </c>
      <c r="I658" s="38">
        <f t="shared" si="196"/>
        <v>-121.78333333333333</v>
      </c>
      <c r="J658" s="38">
        <v>18.399999999999999</v>
      </c>
      <c r="N658" s="38">
        <v>483</v>
      </c>
      <c r="P658" s="57">
        <v>4</v>
      </c>
      <c r="Q658" s="57"/>
      <c r="R658" s="57">
        <v>36587</v>
      </c>
      <c r="S658" s="57" t="s">
        <v>1573</v>
      </c>
      <c r="T658" s="57" t="s">
        <v>1571</v>
      </c>
      <c r="U658" s="57" t="s">
        <v>1593</v>
      </c>
      <c r="V658" s="57" t="s">
        <v>1913</v>
      </c>
      <c r="X658" s="38">
        <v>36</v>
      </c>
      <c r="Y658" s="38">
        <v>46</v>
      </c>
      <c r="Z658" s="38" t="s">
        <v>167</v>
      </c>
      <c r="AD658" s="38" t="s">
        <v>1491</v>
      </c>
      <c r="AE658" s="38" t="s">
        <v>1713</v>
      </c>
      <c r="AF658" s="152" t="s">
        <v>666</v>
      </c>
      <c r="AG658" s="38" t="s">
        <v>1768</v>
      </c>
      <c r="AH658" s="155" t="s">
        <v>1793</v>
      </c>
      <c r="AI658" s="38" t="s">
        <v>522</v>
      </c>
      <c r="AJ658" s="38" t="s">
        <v>522</v>
      </c>
      <c r="AK658" s="38" t="s">
        <v>212</v>
      </c>
      <c r="AO658" s="38" t="s">
        <v>418</v>
      </c>
      <c r="AP658" s="38" t="s">
        <v>523</v>
      </c>
      <c r="AQ658" s="38" t="s">
        <v>587</v>
      </c>
      <c r="AR658" s="38" t="s">
        <v>147</v>
      </c>
      <c r="AS658" s="38">
        <v>4</v>
      </c>
      <c r="AT658" s="38">
        <v>4</v>
      </c>
      <c r="AU658" s="38" t="s">
        <v>379</v>
      </c>
      <c r="AY658" s="64"/>
      <c r="DI658" s="38">
        <v>0.15140000000000001</v>
      </c>
      <c r="DJ658" s="38">
        <v>0.18720000000000001</v>
      </c>
      <c r="DK658" s="38" t="s">
        <v>525</v>
      </c>
      <c r="EJ658" s="12"/>
      <c r="EL658" s="15"/>
      <c r="FR658" s="38" t="s">
        <v>809</v>
      </c>
      <c r="FT658" s="38">
        <v>30</v>
      </c>
    </row>
    <row r="659" spans="1:176" s="38" customFormat="1" x14ac:dyDescent="0.25">
      <c r="A659" s="38">
        <v>30</v>
      </c>
      <c r="B659" s="38" t="s">
        <v>518</v>
      </c>
      <c r="C659" s="38" t="s">
        <v>519</v>
      </c>
      <c r="D659" s="38">
        <v>2002</v>
      </c>
      <c r="E659" s="38">
        <v>2000</v>
      </c>
      <c r="F659" s="38" t="s">
        <v>520</v>
      </c>
      <c r="G659" s="38" t="s">
        <v>521</v>
      </c>
      <c r="H659" s="38">
        <f t="shared" si="195"/>
        <v>38.533333333333331</v>
      </c>
      <c r="I659" s="38">
        <f t="shared" si="196"/>
        <v>-121.78333333333333</v>
      </c>
      <c r="J659" s="38">
        <v>18.399999999999999</v>
      </c>
      <c r="N659" s="38">
        <v>483</v>
      </c>
      <c r="P659" s="57">
        <v>4</v>
      </c>
      <c r="Q659" s="57"/>
      <c r="R659" s="57">
        <v>36587</v>
      </c>
      <c r="S659" s="57" t="s">
        <v>1573</v>
      </c>
      <c r="T659" s="57" t="s">
        <v>1571</v>
      </c>
      <c r="U659" s="57" t="s">
        <v>1593</v>
      </c>
      <c r="V659" s="57" t="s">
        <v>1913</v>
      </c>
      <c r="X659" s="38">
        <v>36</v>
      </c>
      <c r="Y659" s="38">
        <v>46</v>
      </c>
      <c r="Z659" s="38" t="s">
        <v>167</v>
      </c>
      <c r="AD659" s="38" t="s">
        <v>1491</v>
      </c>
      <c r="AE659" s="38" t="s">
        <v>1713</v>
      </c>
      <c r="AF659" s="152" t="s">
        <v>666</v>
      </c>
      <c r="AG659" s="38" t="s">
        <v>1768</v>
      </c>
      <c r="AH659" s="155" t="s">
        <v>1793</v>
      </c>
      <c r="AI659" s="38" t="s">
        <v>522</v>
      </c>
      <c r="AJ659" s="38" t="s">
        <v>522</v>
      </c>
      <c r="AK659" s="38" t="s">
        <v>212</v>
      </c>
      <c r="AO659" s="38" t="s">
        <v>418</v>
      </c>
      <c r="AP659" s="38" t="s">
        <v>524</v>
      </c>
      <c r="AQ659" s="38" t="s">
        <v>587</v>
      </c>
      <c r="AR659" s="38" t="s">
        <v>147</v>
      </c>
      <c r="AS659" s="38">
        <v>4</v>
      </c>
      <c r="AT659" s="38">
        <v>4</v>
      </c>
      <c r="AU659" s="38" t="s">
        <v>379</v>
      </c>
      <c r="AY659" s="64"/>
      <c r="DI659" s="38">
        <v>0.15140000000000001</v>
      </c>
      <c r="DJ659" s="38">
        <v>0.1792</v>
      </c>
      <c r="DK659" s="38" t="s">
        <v>525</v>
      </c>
      <c r="EJ659" s="12"/>
      <c r="EL659" s="15"/>
      <c r="FR659" s="38" t="s">
        <v>809</v>
      </c>
      <c r="FT659" s="38">
        <v>30</v>
      </c>
    </row>
    <row r="660" spans="1:176" s="38" customFormat="1" x14ac:dyDescent="0.25">
      <c r="A660" s="38">
        <v>30</v>
      </c>
      <c r="B660" s="38" t="s">
        <v>518</v>
      </c>
      <c r="C660" s="38" t="s">
        <v>519</v>
      </c>
      <c r="D660" s="38">
        <v>2002</v>
      </c>
      <c r="E660" s="38">
        <v>2000</v>
      </c>
      <c r="F660" s="38" t="s">
        <v>520</v>
      </c>
      <c r="G660" s="38" t="s">
        <v>521</v>
      </c>
      <c r="H660" s="38">
        <f t="shared" si="195"/>
        <v>38.533333333333331</v>
      </c>
      <c r="I660" s="38">
        <f t="shared" si="196"/>
        <v>-121.78333333333333</v>
      </c>
      <c r="J660" s="38">
        <v>18.399999999999999</v>
      </c>
      <c r="N660" s="38">
        <v>483</v>
      </c>
      <c r="P660" s="57">
        <v>4</v>
      </c>
      <c r="Q660" s="57"/>
      <c r="R660" s="57">
        <v>36598</v>
      </c>
      <c r="S660" s="57" t="s">
        <v>1573</v>
      </c>
      <c r="T660" s="57" t="s">
        <v>1571</v>
      </c>
      <c r="U660" s="57" t="s">
        <v>1593</v>
      </c>
      <c r="V660" s="57" t="s">
        <v>1913</v>
      </c>
      <c r="X660" s="38">
        <v>36</v>
      </c>
      <c r="Y660" s="38">
        <v>46</v>
      </c>
      <c r="Z660" s="38" t="s">
        <v>167</v>
      </c>
      <c r="AD660" s="38" t="s">
        <v>1491</v>
      </c>
      <c r="AE660" s="38" t="s">
        <v>1713</v>
      </c>
      <c r="AF660" s="152" t="s">
        <v>666</v>
      </c>
      <c r="AG660" s="38" t="s">
        <v>1768</v>
      </c>
      <c r="AH660" s="155" t="s">
        <v>1793</v>
      </c>
      <c r="AI660" s="38" t="s">
        <v>522</v>
      </c>
      <c r="AJ660" s="38" t="s">
        <v>522</v>
      </c>
      <c r="AK660" s="38" t="s">
        <v>212</v>
      </c>
      <c r="AO660" s="38" t="s">
        <v>418</v>
      </c>
      <c r="AP660" s="38" t="s">
        <v>523</v>
      </c>
      <c r="AQ660" s="38" t="s">
        <v>587</v>
      </c>
      <c r="AR660" s="38" t="s">
        <v>147</v>
      </c>
      <c r="AS660" s="38">
        <v>4</v>
      </c>
      <c r="AT660" s="38">
        <v>4</v>
      </c>
      <c r="AU660" s="38" t="s">
        <v>379</v>
      </c>
      <c r="AY660" s="64"/>
      <c r="DI660" s="38">
        <v>0.14960000000000001</v>
      </c>
      <c r="DJ660" s="38">
        <v>0.1953</v>
      </c>
      <c r="DK660" s="38" t="s">
        <v>525</v>
      </c>
      <c r="EJ660" s="12"/>
      <c r="EL660" s="15"/>
      <c r="FR660" s="38" t="s">
        <v>809</v>
      </c>
      <c r="FT660" s="38">
        <v>30</v>
      </c>
    </row>
    <row r="661" spans="1:176" s="38" customFormat="1" x14ac:dyDescent="0.25">
      <c r="A661" s="38">
        <v>30</v>
      </c>
      <c r="B661" s="38" t="s">
        <v>518</v>
      </c>
      <c r="C661" s="38" t="s">
        <v>519</v>
      </c>
      <c r="D661" s="38">
        <v>2002</v>
      </c>
      <c r="E661" s="38">
        <v>2000</v>
      </c>
      <c r="F661" s="38" t="s">
        <v>520</v>
      </c>
      <c r="G661" s="38" t="s">
        <v>521</v>
      </c>
      <c r="H661" s="38">
        <f t="shared" si="195"/>
        <v>38.533333333333331</v>
      </c>
      <c r="I661" s="38">
        <f t="shared" si="196"/>
        <v>-121.78333333333333</v>
      </c>
      <c r="J661" s="38">
        <v>18.399999999999999</v>
      </c>
      <c r="N661" s="38">
        <v>483</v>
      </c>
      <c r="P661" s="57">
        <v>4</v>
      </c>
      <c r="Q661" s="57"/>
      <c r="R661" s="57">
        <v>36598</v>
      </c>
      <c r="S661" s="57" t="s">
        <v>1573</v>
      </c>
      <c r="T661" s="57" t="s">
        <v>1571</v>
      </c>
      <c r="U661" s="57" t="s">
        <v>1593</v>
      </c>
      <c r="V661" s="57" t="s">
        <v>1913</v>
      </c>
      <c r="X661" s="38">
        <v>36</v>
      </c>
      <c r="Y661" s="38">
        <v>46</v>
      </c>
      <c r="Z661" s="38" t="s">
        <v>167</v>
      </c>
      <c r="AD661" s="38" t="s">
        <v>1491</v>
      </c>
      <c r="AE661" s="38" t="s">
        <v>1713</v>
      </c>
      <c r="AF661" s="152" t="s">
        <v>666</v>
      </c>
      <c r="AG661" s="38" t="s">
        <v>1768</v>
      </c>
      <c r="AH661" s="155" t="s">
        <v>1793</v>
      </c>
      <c r="AI661" s="38" t="s">
        <v>522</v>
      </c>
      <c r="AJ661" s="38" t="s">
        <v>522</v>
      </c>
      <c r="AK661" s="38" t="s">
        <v>212</v>
      </c>
      <c r="AO661" s="38" t="s">
        <v>418</v>
      </c>
      <c r="AP661" s="38" t="s">
        <v>524</v>
      </c>
      <c r="AQ661" s="38" t="s">
        <v>587</v>
      </c>
      <c r="AR661" s="38" t="s">
        <v>147</v>
      </c>
      <c r="AS661" s="38">
        <v>4</v>
      </c>
      <c r="AT661" s="38">
        <v>4</v>
      </c>
      <c r="AU661" s="38" t="s">
        <v>379</v>
      </c>
      <c r="AY661" s="64"/>
      <c r="DI661" s="38">
        <v>0.14960000000000001</v>
      </c>
      <c r="DJ661" s="38">
        <v>0.18540000000000001</v>
      </c>
      <c r="DK661" s="38" t="s">
        <v>525</v>
      </c>
      <c r="EJ661" s="12"/>
      <c r="EL661" s="15"/>
      <c r="FR661" s="38" t="s">
        <v>809</v>
      </c>
      <c r="FT661" s="38">
        <v>30</v>
      </c>
    </row>
    <row r="662" spans="1:176" s="23" customFormat="1" x14ac:dyDescent="0.25">
      <c r="A662" s="23">
        <v>30</v>
      </c>
      <c r="B662" s="23" t="s">
        <v>518</v>
      </c>
      <c r="C662" s="23" t="s">
        <v>519</v>
      </c>
      <c r="D662" s="23">
        <v>2002</v>
      </c>
      <c r="E662" s="23">
        <v>1998</v>
      </c>
      <c r="F662" s="23" t="s">
        <v>520</v>
      </c>
      <c r="G662" s="23" t="s">
        <v>521</v>
      </c>
      <c r="H662" s="23">
        <f t="shared" ref="H662:H693" si="197">38+32/60</f>
        <v>38.533333333333331</v>
      </c>
      <c r="I662" s="23">
        <f t="shared" ref="I662:I693" si="198">-121-47/60</f>
        <v>-121.78333333333333</v>
      </c>
      <c r="J662" s="23">
        <v>18.399999999999999</v>
      </c>
      <c r="N662" s="23">
        <v>483</v>
      </c>
      <c r="P662" s="53">
        <v>2</v>
      </c>
      <c r="Q662" s="53"/>
      <c r="R662" s="53">
        <v>36145</v>
      </c>
      <c r="S662" s="53" t="s">
        <v>1574</v>
      </c>
      <c r="T662" s="53" t="s">
        <v>1571</v>
      </c>
      <c r="U662" s="53" t="s">
        <v>1593</v>
      </c>
      <c r="V662" s="53" t="s">
        <v>1913</v>
      </c>
      <c r="X662" s="23">
        <v>36</v>
      </c>
      <c r="Y662" s="23">
        <v>46</v>
      </c>
      <c r="Z662" s="23" t="s">
        <v>167</v>
      </c>
      <c r="AD662" s="23" t="s">
        <v>1491</v>
      </c>
      <c r="AE662" s="23" t="s">
        <v>1713</v>
      </c>
      <c r="AF662" s="152" t="s">
        <v>666</v>
      </c>
      <c r="AG662" s="23" t="s">
        <v>1768</v>
      </c>
      <c r="AH662" s="155" t="s">
        <v>1793</v>
      </c>
      <c r="AI662" s="23" t="s">
        <v>522</v>
      </c>
      <c r="AJ662" s="23" t="s">
        <v>522</v>
      </c>
      <c r="AK662" s="23" t="s">
        <v>212</v>
      </c>
      <c r="AO662" s="23" t="s">
        <v>418</v>
      </c>
      <c r="AP662" s="23" t="s">
        <v>523</v>
      </c>
      <c r="AQ662" s="23" t="s">
        <v>587</v>
      </c>
      <c r="AR662" s="23" t="s">
        <v>147</v>
      </c>
      <c r="AS662" s="23">
        <v>4</v>
      </c>
      <c r="AT662" s="23">
        <v>4</v>
      </c>
      <c r="AU662" s="23" t="s">
        <v>379</v>
      </c>
      <c r="AY662" s="64"/>
      <c r="DI662" s="23">
        <v>0.14299999999999999</v>
      </c>
      <c r="DJ662" s="23">
        <v>0.19539999999999999</v>
      </c>
      <c r="DK662" s="23" t="s">
        <v>525</v>
      </c>
      <c r="EJ662" s="12"/>
      <c r="EL662" s="15"/>
      <c r="FR662" s="23" t="s">
        <v>809</v>
      </c>
      <c r="FT662" s="23">
        <v>30</v>
      </c>
    </row>
    <row r="663" spans="1:176" s="23" customFormat="1" x14ac:dyDescent="0.25">
      <c r="A663" s="23">
        <v>30</v>
      </c>
      <c r="B663" s="23" t="s">
        <v>518</v>
      </c>
      <c r="C663" s="23" t="s">
        <v>519</v>
      </c>
      <c r="D663" s="23">
        <v>2002</v>
      </c>
      <c r="E663" s="23">
        <v>1998</v>
      </c>
      <c r="F663" s="23" t="s">
        <v>520</v>
      </c>
      <c r="G663" s="23" t="s">
        <v>521</v>
      </c>
      <c r="H663" s="23">
        <f t="shared" si="197"/>
        <v>38.533333333333331</v>
      </c>
      <c r="I663" s="23">
        <f t="shared" si="198"/>
        <v>-121.78333333333333</v>
      </c>
      <c r="J663" s="23">
        <v>18.399999999999999</v>
      </c>
      <c r="N663" s="23">
        <v>483</v>
      </c>
      <c r="P663" s="53">
        <v>2</v>
      </c>
      <c r="Q663" s="53"/>
      <c r="R663" s="53">
        <v>36145</v>
      </c>
      <c r="S663" s="53" t="s">
        <v>1574</v>
      </c>
      <c r="T663" s="53" t="s">
        <v>1571</v>
      </c>
      <c r="U663" s="53" t="s">
        <v>1593</v>
      </c>
      <c r="V663" s="53" t="s">
        <v>1913</v>
      </c>
      <c r="X663" s="23">
        <v>36</v>
      </c>
      <c r="Y663" s="23">
        <v>46</v>
      </c>
      <c r="Z663" s="23" t="s">
        <v>167</v>
      </c>
      <c r="AD663" s="23" t="s">
        <v>1491</v>
      </c>
      <c r="AE663" s="23" t="s">
        <v>1713</v>
      </c>
      <c r="AF663" s="152" t="s">
        <v>666</v>
      </c>
      <c r="AG663" s="23" t="s">
        <v>1768</v>
      </c>
      <c r="AH663" s="155" t="s">
        <v>1793</v>
      </c>
      <c r="AI663" s="23" t="s">
        <v>522</v>
      </c>
      <c r="AJ663" s="23" t="s">
        <v>522</v>
      </c>
      <c r="AK663" s="23" t="s">
        <v>212</v>
      </c>
      <c r="AO663" s="23" t="s">
        <v>418</v>
      </c>
      <c r="AP663" s="23" t="s">
        <v>524</v>
      </c>
      <c r="AQ663" s="23" t="s">
        <v>587</v>
      </c>
      <c r="AR663" s="23" t="s">
        <v>147</v>
      </c>
      <c r="AS663" s="23">
        <v>4</v>
      </c>
      <c r="AT663" s="23">
        <v>4</v>
      </c>
      <c r="AU663" s="23" t="s">
        <v>379</v>
      </c>
      <c r="AY663" s="64"/>
      <c r="DI663" s="23">
        <v>0.14299999999999999</v>
      </c>
      <c r="DJ663" s="23">
        <v>0.17799999999999999</v>
      </c>
      <c r="DK663" s="23" t="s">
        <v>525</v>
      </c>
      <c r="EJ663" s="12"/>
      <c r="EL663" s="15"/>
      <c r="FR663" s="23" t="s">
        <v>809</v>
      </c>
      <c r="FT663" s="23">
        <v>30</v>
      </c>
    </row>
    <row r="664" spans="1:176" s="23" customFormat="1" x14ac:dyDescent="0.25">
      <c r="A664" s="23">
        <v>30</v>
      </c>
      <c r="B664" s="23" t="s">
        <v>518</v>
      </c>
      <c r="C664" s="23" t="s">
        <v>519</v>
      </c>
      <c r="D664" s="23">
        <v>2002</v>
      </c>
      <c r="E664" s="23">
        <v>1999</v>
      </c>
      <c r="F664" s="23" t="s">
        <v>520</v>
      </c>
      <c r="G664" s="23" t="s">
        <v>521</v>
      </c>
      <c r="H664" s="23">
        <f t="shared" si="197"/>
        <v>38.533333333333331</v>
      </c>
      <c r="I664" s="23">
        <f t="shared" si="198"/>
        <v>-121.78333333333333</v>
      </c>
      <c r="J664" s="23">
        <v>18.399999999999999</v>
      </c>
      <c r="N664" s="23">
        <v>483</v>
      </c>
      <c r="P664" s="53">
        <v>3</v>
      </c>
      <c r="Q664" s="53"/>
      <c r="R664" s="53">
        <v>36170</v>
      </c>
      <c r="S664" s="53" t="s">
        <v>1574</v>
      </c>
      <c r="T664" s="53" t="s">
        <v>1571</v>
      </c>
      <c r="U664" s="53" t="s">
        <v>1593</v>
      </c>
      <c r="V664" s="53" t="s">
        <v>1913</v>
      </c>
      <c r="X664" s="23">
        <v>36</v>
      </c>
      <c r="Y664" s="23">
        <v>46</v>
      </c>
      <c r="Z664" s="23" t="s">
        <v>167</v>
      </c>
      <c r="AD664" s="23" t="s">
        <v>1491</v>
      </c>
      <c r="AE664" s="23" t="s">
        <v>1713</v>
      </c>
      <c r="AF664" s="152" t="s">
        <v>666</v>
      </c>
      <c r="AG664" s="23" t="s">
        <v>1768</v>
      </c>
      <c r="AH664" s="155" t="s">
        <v>1793</v>
      </c>
      <c r="AI664" s="23" t="s">
        <v>522</v>
      </c>
      <c r="AJ664" s="23" t="s">
        <v>522</v>
      </c>
      <c r="AK664" s="23" t="s">
        <v>212</v>
      </c>
      <c r="AO664" s="23" t="s">
        <v>418</v>
      </c>
      <c r="AP664" s="23" t="s">
        <v>523</v>
      </c>
      <c r="AQ664" s="23" t="s">
        <v>587</v>
      </c>
      <c r="AR664" s="23" t="s">
        <v>147</v>
      </c>
      <c r="AS664" s="23">
        <v>4</v>
      </c>
      <c r="AT664" s="23">
        <v>4</v>
      </c>
      <c r="AU664" s="23" t="s">
        <v>379</v>
      </c>
      <c r="AY664" s="64"/>
      <c r="DI664" s="23">
        <v>0.13950000000000001</v>
      </c>
      <c r="DJ664" s="23">
        <v>0.1789</v>
      </c>
      <c r="DK664" s="23" t="s">
        <v>525</v>
      </c>
      <c r="EJ664" s="12"/>
      <c r="EL664" s="15"/>
      <c r="FR664" s="23" t="s">
        <v>809</v>
      </c>
      <c r="FT664" s="23">
        <v>30</v>
      </c>
    </row>
    <row r="665" spans="1:176" s="23" customFormat="1" x14ac:dyDescent="0.25">
      <c r="A665" s="23">
        <v>30</v>
      </c>
      <c r="B665" s="23" t="s">
        <v>518</v>
      </c>
      <c r="C665" s="23" t="s">
        <v>519</v>
      </c>
      <c r="D665" s="23">
        <v>2002</v>
      </c>
      <c r="E665" s="23">
        <v>1999</v>
      </c>
      <c r="F665" s="23" t="s">
        <v>520</v>
      </c>
      <c r="G665" s="23" t="s">
        <v>521</v>
      </c>
      <c r="H665" s="23">
        <f t="shared" si="197"/>
        <v>38.533333333333331</v>
      </c>
      <c r="I665" s="23">
        <f t="shared" si="198"/>
        <v>-121.78333333333333</v>
      </c>
      <c r="J665" s="23">
        <v>18.399999999999999</v>
      </c>
      <c r="N665" s="23">
        <v>483</v>
      </c>
      <c r="P665" s="53">
        <v>3</v>
      </c>
      <c r="Q665" s="53"/>
      <c r="R665" s="53">
        <v>36170</v>
      </c>
      <c r="S665" s="53" t="s">
        <v>1574</v>
      </c>
      <c r="T665" s="53" t="s">
        <v>1571</v>
      </c>
      <c r="U665" s="53" t="s">
        <v>1593</v>
      </c>
      <c r="V665" s="53" t="s">
        <v>1913</v>
      </c>
      <c r="X665" s="23">
        <v>36</v>
      </c>
      <c r="Y665" s="23">
        <v>46</v>
      </c>
      <c r="Z665" s="23" t="s">
        <v>167</v>
      </c>
      <c r="AD665" s="23" t="s">
        <v>1491</v>
      </c>
      <c r="AE665" s="23" t="s">
        <v>1713</v>
      </c>
      <c r="AF665" s="152" t="s">
        <v>666</v>
      </c>
      <c r="AG665" s="23" t="s">
        <v>1768</v>
      </c>
      <c r="AH665" s="155" t="s">
        <v>1793</v>
      </c>
      <c r="AI665" s="23" t="s">
        <v>522</v>
      </c>
      <c r="AJ665" s="23" t="s">
        <v>522</v>
      </c>
      <c r="AK665" s="23" t="s">
        <v>212</v>
      </c>
      <c r="AO665" s="23" t="s">
        <v>418</v>
      </c>
      <c r="AP665" s="23" t="s">
        <v>524</v>
      </c>
      <c r="AQ665" s="23" t="s">
        <v>587</v>
      </c>
      <c r="AR665" s="23" t="s">
        <v>147</v>
      </c>
      <c r="AS665" s="23">
        <v>4</v>
      </c>
      <c r="AT665" s="23">
        <v>4</v>
      </c>
      <c r="AU665" s="23" t="s">
        <v>379</v>
      </c>
      <c r="AY665" s="64"/>
      <c r="DI665" s="23">
        <v>0.13950000000000001</v>
      </c>
      <c r="DJ665" s="23">
        <v>0.16889999999999999</v>
      </c>
      <c r="DK665" s="23" t="s">
        <v>525</v>
      </c>
      <c r="EJ665" s="12"/>
      <c r="EL665" s="15"/>
      <c r="FR665" s="23" t="s">
        <v>809</v>
      </c>
      <c r="FT665" s="23">
        <v>30</v>
      </c>
    </row>
    <row r="666" spans="1:176" s="23" customFormat="1" x14ac:dyDescent="0.25">
      <c r="A666" s="23">
        <v>30</v>
      </c>
      <c r="B666" s="23" t="s">
        <v>518</v>
      </c>
      <c r="C666" s="23" t="s">
        <v>519</v>
      </c>
      <c r="D666" s="23">
        <v>2002</v>
      </c>
      <c r="E666" s="23">
        <v>1999</v>
      </c>
      <c r="F666" s="23" t="s">
        <v>520</v>
      </c>
      <c r="G666" s="23" t="s">
        <v>521</v>
      </c>
      <c r="H666" s="23">
        <f t="shared" si="197"/>
        <v>38.533333333333331</v>
      </c>
      <c r="I666" s="23">
        <f t="shared" si="198"/>
        <v>-121.78333333333333</v>
      </c>
      <c r="J666" s="23">
        <v>18.399999999999999</v>
      </c>
      <c r="N666" s="23">
        <v>483</v>
      </c>
      <c r="P666" s="53">
        <v>3</v>
      </c>
      <c r="Q666" s="53"/>
      <c r="R666" s="53">
        <v>36187</v>
      </c>
      <c r="S666" s="53" t="s">
        <v>1574</v>
      </c>
      <c r="T666" s="53" t="s">
        <v>1571</v>
      </c>
      <c r="U666" s="53" t="s">
        <v>1593</v>
      </c>
      <c r="V666" s="53" t="s">
        <v>1913</v>
      </c>
      <c r="X666" s="23">
        <v>36</v>
      </c>
      <c r="Y666" s="23">
        <v>46</v>
      </c>
      <c r="Z666" s="23" t="s">
        <v>167</v>
      </c>
      <c r="AD666" s="23" t="s">
        <v>1491</v>
      </c>
      <c r="AE666" s="23" t="s">
        <v>1713</v>
      </c>
      <c r="AF666" s="152" t="s">
        <v>666</v>
      </c>
      <c r="AG666" s="23" t="s">
        <v>1768</v>
      </c>
      <c r="AH666" s="155" t="s">
        <v>1793</v>
      </c>
      <c r="AI666" s="23" t="s">
        <v>522</v>
      </c>
      <c r="AJ666" s="23" t="s">
        <v>522</v>
      </c>
      <c r="AK666" s="23" t="s">
        <v>212</v>
      </c>
      <c r="AO666" s="23" t="s">
        <v>418</v>
      </c>
      <c r="AP666" s="23" t="s">
        <v>523</v>
      </c>
      <c r="AQ666" s="23" t="s">
        <v>587</v>
      </c>
      <c r="AR666" s="23" t="s">
        <v>147</v>
      </c>
      <c r="AS666" s="23">
        <v>4</v>
      </c>
      <c r="AT666" s="23">
        <v>4</v>
      </c>
      <c r="AU666" s="23" t="s">
        <v>379</v>
      </c>
      <c r="AY666" s="64"/>
      <c r="DI666" s="23">
        <v>0.1414</v>
      </c>
      <c r="DJ666" s="23">
        <v>0.18820000000000001</v>
      </c>
      <c r="DK666" s="23" t="s">
        <v>525</v>
      </c>
      <c r="EJ666" s="12"/>
      <c r="EL666" s="15"/>
      <c r="FR666" s="23" t="s">
        <v>809</v>
      </c>
      <c r="FT666" s="23">
        <v>30</v>
      </c>
    </row>
    <row r="667" spans="1:176" s="23" customFormat="1" x14ac:dyDescent="0.25">
      <c r="A667" s="23">
        <v>30</v>
      </c>
      <c r="B667" s="23" t="s">
        <v>518</v>
      </c>
      <c r="C667" s="23" t="s">
        <v>519</v>
      </c>
      <c r="D667" s="23">
        <v>2002</v>
      </c>
      <c r="E667" s="23">
        <v>1999</v>
      </c>
      <c r="F667" s="23" t="s">
        <v>520</v>
      </c>
      <c r="G667" s="23" t="s">
        <v>521</v>
      </c>
      <c r="H667" s="23">
        <f t="shared" si="197"/>
        <v>38.533333333333331</v>
      </c>
      <c r="I667" s="23">
        <f t="shared" si="198"/>
        <v>-121.78333333333333</v>
      </c>
      <c r="J667" s="23">
        <v>18.399999999999999</v>
      </c>
      <c r="N667" s="23">
        <v>483</v>
      </c>
      <c r="P667" s="53">
        <v>3</v>
      </c>
      <c r="Q667" s="53"/>
      <c r="R667" s="53">
        <v>36187</v>
      </c>
      <c r="S667" s="53" t="s">
        <v>1574</v>
      </c>
      <c r="T667" s="53" t="s">
        <v>1571</v>
      </c>
      <c r="U667" s="53" t="s">
        <v>1593</v>
      </c>
      <c r="V667" s="53" t="s">
        <v>1913</v>
      </c>
      <c r="X667" s="23">
        <v>36</v>
      </c>
      <c r="Y667" s="23">
        <v>46</v>
      </c>
      <c r="Z667" s="23" t="s">
        <v>167</v>
      </c>
      <c r="AD667" s="23" t="s">
        <v>1491</v>
      </c>
      <c r="AE667" s="23" t="s">
        <v>1713</v>
      </c>
      <c r="AF667" s="152" t="s">
        <v>666</v>
      </c>
      <c r="AG667" s="23" t="s">
        <v>1768</v>
      </c>
      <c r="AH667" s="155" t="s">
        <v>1793</v>
      </c>
      <c r="AI667" s="23" t="s">
        <v>522</v>
      </c>
      <c r="AJ667" s="23" t="s">
        <v>522</v>
      </c>
      <c r="AK667" s="23" t="s">
        <v>212</v>
      </c>
      <c r="AO667" s="23" t="s">
        <v>418</v>
      </c>
      <c r="AP667" s="23" t="s">
        <v>524</v>
      </c>
      <c r="AQ667" s="23" t="s">
        <v>587</v>
      </c>
      <c r="AR667" s="23" t="s">
        <v>147</v>
      </c>
      <c r="AS667" s="23">
        <v>4</v>
      </c>
      <c r="AT667" s="23">
        <v>4</v>
      </c>
      <c r="AU667" s="23" t="s">
        <v>379</v>
      </c>
      <c r="AY667" s="64"/>
      <c r="DI667" s="23">
        <v>0.1414</v>
      </c>
      <c r="DJ667" s="23">
        <v>0.17349999999999999</v>
      </c>
      <c r="DK667" s="23" t="s">
        <v>525</v>
      </c>
      <c r="EJ667" s="12"/>
      <c r="EL667" s="15"/>
      <c r="FR667" s="23" t="s">
        <v>809</v>
      </c>
      <c r="FT667" s="23">
        <v>30</v>
      </c>
    </row>
    <row r="668" spans="1:176" s="23" customFormat="1" x14ac:dyDescent="0.25">
      <c r="A668" s="23">
        <v>30</v>
      </c>
      <c r="B668" s="23" t="s">
        <v>518</v>
      </c>
      <c r="C668" s="23" t="s">
        <v>519</v>
      </c>
      <c r="D668" s="23">
        <v>2002</v>
      </c>
      <c r="E668" s="23">
        <v>1999</v>
      </c>
      <c r="F668" s="23" t="s">
        <v>520</v>
      </c>
      <c r="G668" s="23" t="s">
        <v>521</v>
      </c>
      <c r="H668" s="23">
        <f t="shared" si="197"/>
        <v>38.533333333333331</v>
      </c>
      <c r="I668" s="23">
        <f t="shared" si="198"/>
        <v>-121.78333333333333</v>
      </c>
      <c r="J668" s="23">
        <v>18.399999999999999</v>
      </c>
      <c r="N668" s="23">
        <v>483</v>
      </c>
      <c r="P668" s="53">
        <v>3</v>
      </c>
      <c r="Q668" s="53"/>
      <c r="R668" s="53">
        <v>36198</v>
      </c>
      <c r="S668" s="53" t="s">
        <v>1574</v>
      </c>
      <c r="T668" s="53" t="s">
        <v>1571</v>
      </c>
      <c r="U668" s="53" t="s">
        <v>1593</v>
      </c>
      <c r="V668" s="53" t="s">
        <v>1913</v>
      </c>
      <c r="X668" s="23">
        <v>36</v>
      </c>
      <c r="Y668" s="23">
        <v>46</v>
      </c>
      <c r="Z668" s="23" t="s">
        <v>167</v>
      </c>
      <c r="AD668" s="23" t="s">
        <v>1491</v>
      </c>
      <c r="AE668" s="23" t="s">
        <v>1713</v>
      </c>
      <c r="AF668" s="152" t="s">
        <v>666</v>
      </c>
      <c r="AG668" s="23" t="s">
        <v>1768</v>
      </c>
      <c r="AH668" s="155" t="s">
        <v>1793</v>
      </c>
      <c r="AI668" s="23" t="s">
        <v>522</v>
      </c>
      <c r="AJ668" s="23" t="s">
        <v>522</v>
      </c>
      <c r="AK668" s="23" t="s">
        <v>212</v>
      </c>
      <c r="AO668" s="23" t="s">
        <v>418</v>
      </c>
      <c r="AP668" s="23" t="s">
        <v>523</v>
      </c>
      <c r="AQ668" s="23" t="s">
        <v>587</v>
      </c>
      <c r="AR668" s="23" t="s">
        <v>147</v>
      </c>
      <c r="AS668" s="23">
        <v>4</v>
      </c>
      <c r="AT668" s="23">
        <v>4</v>
      </c>
      <c r="AU668" s="23" t="s">
        <v>379</v>
      </c>
      <c r="AY668" s="64"/>
      <c r="DI668" s="23">
        <v>0.17630000000000001</v>
      </c>
      <c r="DJ668" s="23">
        <v>0.1983</v>
      </c>
      <c r="DK668" s="23" t="s">
        <v>525</v>
      </c>
      <c r="EJ668" s="12"/>
      <c r="EL668" s="15"/>
      <c r="FR668" s="23" t="s">
        <v>809</v>
      </c>
      <c r="FT668" s="23">
        <v>30</v>
      </c>
    </row>
    <row r="669" spans="1:176" s="23" customFormat="1" x14ac:dyDescent="0.25">
      <c r="A669" s="23">
        <v>30</v>
      </c>
      <c r="B669" s="23" t="s">
        <v>518</v>
      </c>
      <c r="C669" s="23" t="s">
        <v>519</v>
      </c>
      <c r="D669" s="23">
        <v>2002</v>
      </c>
      <c r="E669" s="23">
        <v>1999</v>
      </c>
      <c r="F669" s="23" t="s">
        <v>520</v>
      </c>
      <c r="G669" s="23" t="s">
        <v>521</v>
      </c>
      <c r="H669" s="23">
        <f t="shared" si="197"/>
        <v>38.533333333333331</v>
      </c>
      <c r="I669" s="23">
        <f t="shared" si="198"/>
        <v>-121.78333333333333</v>
      </c>
      <c r="J669" s="23">
        <v>18.399999999999999</v>
      </c>
      <c r="N669" s="23">
        <v>483</v>
      </c>
      <c r="P669" s="53">
        <v>3</v>
      </c>
      <c r="Q669" s="53"/>
      <c r="R669" s="53">
        <v>36198</v>
      </c>
      <c r="S669" s="53" t="s">
        <v>1574</v>
      </c>
      <c r="T669" s="53" t="s">
        <v>1571</v>
      </c>
      <c r="U669" s="53" t="s">
        <v>1593</v>
      </c>
      <c r="V669" s="53" t="s">
        <v>1913</v>
      </c>
      <c r="X669" s="23">
        <v>36</v>
      </c>
      <c r="Y669" s="23">
        <v>46</v>
      </c>
      <c r="Z669" s="23" t="s">
        <v>167</v>
      </c>
      <c r="AD669" s="23" t="s">
        <v>1491</v>
      </c>
      <c r="AE669" s="23" t="s">
        <v>1713</v>
      </c>
      <c r="AF669" s="152" t="s">
        <v>666</v>
      </c>
      <c r="AG669" s="23" t="s">
        <v>1768</v>
      </c>
      <c r="AH669" s="155" t="s">
        <v>1793</v>
      </c>
      <c r="AI669" s="23" t="s">
        <v>522</v>
      </c>
      <c r="AJ669" s="23" t="s">
        <v>522</v>
      </c>
      <c r="AK669" s="23" t="s">
        <v>212</v>
      </c>
      <c r="AO669" s="23" t="s">
        <v>418</v>
      </c>
      <c r="AP669" s="23" t="s">
        <v>524</v>
      </c>
      <c r="AQ669" s="23" t="s">
        <v>587</v>
      </c>
      <c r="AR669" s="23" t="s">
        <v>147</v>
      </c>
      <c r="AS669" s="23">
        <v>4</v>
      </c>
      <c r="AT669" s="23">
        <v>4</v>
      </c>
      <c r="AU669" s="23" t="s">
        <v>379</v>
      </c>
      <c r="AY669" s="64"/>
      <c r="DI669" s="23">
        <v>0.17630000000000001</v>
      </c>
      <c r="DJ669" s="23">
        <v>0.14599999999999999</v>
      </c>
      <c r="DK669" s="23" t="s">
        <v>525</v>
      </c>
      <c r="EJ669" s="12"/>
      <c r="EL669" s="15"/>
      <c r="FR669" s="23" t="s">
        <v>809</v>
      </c>
      <c r="FT669" s="23">
        <v>30</v>
      </c>
    </row>
    <row r="670" spans="1:176" s="23" customFormat="1" x14ac:dyDescent="0.25">
      <c r="A670" s="23">
        <v>30</v>
      </c>
      <c r="B670" s="23" t="s">
        <v>518</v>
      </c>
      <c r="C670" s="23" t="s">
        <v>519</v>
      </c>
      <c r="D670" s="23">
        <v>2002</v>
      </c>
      <c r="E670" s="23">
        <v>1999</v>
      </c>
      <c r="F670" s="23" t="s">
        <v>520</v>
      </c>
      <c r="G670" s="23" t="s">
        <v>521</v>
      </c>
      <c r="H670" s="23">
        <f t="shared" si="197"/>
        <v>38.533333333333331</v>
      </c>
      <c r="I670" s="23">
        <f t="shared" si="198"/>
        <v>-121.78333333333333</v>
      </c>
      <c r="J670" s="23">
        <v>18.399999999999999</v>
      </c>
      <c r="N670" s="23">
        <v>483</v>
      </c>
      <c r="P670" s="53">
        <v>3</v>
      </c>
      <c r="Q670" s="53"/>
      <c r="R670" s="53">
        <v>36232</v>
      </c>
      <c r="S670" s="53" t="s">
        <v>1574</v>
      </c>
      <c r="T670" s="53" t="s">
        <v>1571</v>
      </c>
      <c r="U670" s="53" t="s">
        <v>1593</v>
      </c>
      <c r="V670" s="53" t="s">
        <v>1913</v>
      </c>
      <c r="X670" s="23">
        <v>36</v>
      </c>
      <c r="Y670" s="23">
        <v>46</v>
      </c>
      <c r="Z670" s="23" t="s">
        <v>167</v>
      </c>
      <c r="AD670" s="23" t="s">
        <v>1491</v>
      </c>
      <c r="AE670" s="23" t="s">
        <v>1713</v>
      </c>
      <c r="AF670" s="152" t="s">
        <v>666</v>
      </c>
      <c r="AG670" s="23" t="s">
        <v>1768</v>
      </c>
      <c r="AH670" s="155" t="s">
        <v>1793</v>
      </c>
      <c r="AI670" s="23" t="s">
        <v>522</v>
      </c>
      <c r="AJ670" s="23" t="s">
        <v>522</v>
      </c>
      <c r="AK670" s="23" t="s">
        <v>212</v>
      </c>
      <c r="AO670" s="23" t="s">
        <v>418</v>
      </c>
      <c r="AP670" s="23" t="s">
        <v>523</v>
      </c>
      <c r="AQ670" s="23" t="s">
        <v>587</v>
      </c>
      <c r="AR670" s="23" t="s">
        <v>147</v>
      </c>
      <c r="AS670" s="23">
        <v>4</v>
      </c>
      <c r="AT670" s="23">
        <v>4</v>
      </c>
      <c r="AU670" s="23" t="s">
        <v>379</v>
      </c>
      <c r="AY670" s="64"/>
      <c r="DI670" s="23">
        <v>0.1699</v>
      </c>
      <c r="DJ670" s="23">
        <v>0.1837</v>
      </c>
      <c r="DK670" s="23" t="s">
        <v>525</v>
      </c>
      <c r="EJ670" s="12"/>
      <c r="EL670" s="15"/>
      <c r="FR670" s="23" t="s">
        <v>809</v>
      </c>
      <c r="FT670" s="23">
        <v>30</v>
      </c>
    </row>
    <row r="671" spans="1:176" s="23" customFormat="1" x14ac:dyDescent="0.25">
      <c r="A671" s="23">
        <v>30</v>
      </c>
      <c r="B671" s="23" t="s">
        <v>518</v>
      </c>
      <c r="C671" s="23" t="s">
        <v>519</v>
      </c>
      <c r="D671" s="23">
        <v>2002</v>
      </c>
      <c r="E671" s="23">
        <v>1999</v>
      </c>
      <c r="F671" s="23" t="s">
        <v>520</v>
      </c>
      <c r="G671" s="23" t="s">
        <v>521</v>
      </c>
      <c r="H671" s="23">
        <f t="shared" si="197"/>
        <v>38.533333333333331</v>
      </c>
      <c r="I671" s="23">
        <f t="shared" si="198"/>
        <v>-121.78333333333333</v>
      </c>
      <c r="J671" s="23">
        <v>18.399999999999999</v>
      </c>
      <c r="N671" s="23">
        <v>483</v>
      </c>
      <c r="P671" s="53">
        <v>3</v>
      </c>
      <c r="Q671" s="53"/>
      <c r="R671" s="53">
        <v>36232</v>
      </c>
      <c r="S671" s="53" t="s">
        <v>1574</v>
      </c>
      <c r="T671" s="53" t="s">
        <v>1571</v>
      </c>
      <c r="U671" s="53" t="s">
        <v>1593</v>
      </c>
      <c r="V671" s="53" t="s">
        <v>1913</v>
      </c>
      <c r="X671" s="23">
        <v>36</v>
      </c>
      <c r="Y671" s="23">
        <v>46</v>
      </c>
      <c r="Z671" s="23" t="s">
        <v>167</v>
      </c>
      <c r="AD671" s="23" t="s">
        <v>1491</v>
      </c>
      <c r="AE671" s="23" t="s">
        <v>1713</v>
      </c>
      <c r="AF671" s="152" t="s">
        <v>666</v>
      </c>
      <c r="AG671" s="23" t="s">
        <v>1768</v>
      </c>
      <c r="AH671" s="155" t="s">
        <v>1793</v>
      </c>
      <c r="AI671" s="23" t="s">
        <v>522</v>
      </c>
      <c r="AJ671" s="23" t="s">
        <v>522</v>
      </c>
      <c r="AK671" s="23" t="s">
        <v>212</v>
      </c>
      <c r="AO671" s="23" t="s">
        <v>418</v>
      </c>
      <c r="AP671" s="23" t="s">
        <v>524</v>
      </c>
      <c r="AQ671" s="23" t="s">
        <v>587</v>
      </c>
      <c r="AR671" s="23" t="s">
        <v>147</v>
      </c>
      <c r="AS671" s="23">
        <v>4</v>
      </c>
      <c r="AT671" s="23">
        <v>4</v>
      </c>
      <c r="AU671" s="23" t="s">
        <v>379</v>
      </c>
      <c r="AY671" s="64"/>
      <c r="DI671" s="23">
        <v>0.1699</v>
      </c>
      <c r="DJ671" s="23">
        <v>0.1671</v>
      </c>
      <c r="DK671" s="23" t="s">
        <v>525</v>
      </c>
      <c r="EJ671" s="12"/>
      <c r="EL671" s="15"/>
      <c r="FR671" s="23" t="s">
        <v>809</v>
      </c>
      <c r="FT671" s="23">
        <v>30</v>
      </c>
    </row>
    <row r="672" spans="1:176" s="23" customFormat="1" x14ac:dyDescent="0.25">
      <c r="A672" s="23">
        <v>30</v>
      </c>
      <c r="B672" s="23" t="s">
        <v>518</v>
      </c>
      <c r="C672" s="23" t="s">
        <v>519</v>
      </c>
      <c r="D672" s="23">
        <v>2002</v>
      </c>
      <c r="E672" s="23">
        <v>1999</v>
      </c>
      <c r="F672" s="23" t="s">
        <v>520</v>
      </c>
      <c r="G672" s="23" t="s">
        <v>521</v>
      </c>
      <c r="H672" s="23">
        <f t="shared" si="197"/>
        <v>38.533333333333331</v>
      </c>
      <c r="I672" s="23">
        <f t="shared" si="198"/>
        <v>-121.78333333333333</v>
      </c>
      <c r="J672" s="23">
        <v>18.399999999999999</v>
      </c>
      <c r="N672" s="23">
        <v>483</v>
      </c>
      <c r="P672" s="53">
        <v>3</v>
      </c>
      <c r="Q672" s="53"/>
      <c r="R672" s="53">
        <v>36234</v>
      </c>
      <c r="S672" s="53" t="s">
        <v>1574</v>
      </c>
      <c r="T672" s="53" t="s">
        <v>1571</v>
      </c>
      <c r="U672" s="53" t="s">
        <v>1593</v>
      </c>
      <c r="V672" s="53" t="s">
        <v>1913</v>
      </c>
      <c r="X672" s="23">
        <v>36</v>
      </c>
      <c r="Y672" s="23">
        <v>46</v>
      </c>
      <c r="Z672" s="23" t="s">
        <v>167</v>
      </c>
      <c r="AD672" s="23" t="s">
        <v>1491</v>
      </c>
      <c r="AE672" s="23" t="s">
        <v>1713</v>
      </c>
      <c r="AF672" s="152" t="s">
        <v>666</v>
      </c>
      <c r="AG672" s="23" t="s">
        <v>1768</v>
      </c>
      <c r="AH672" s="155" t="s">
        <v>1793</v>
      </c>
      <c r="AI672" s="23" t="s">
        <v>522</v>
      </c>
      <c r="AJ672" s="23" t="s">
        <v>522</v>
      </c>
      <c r="AK672" s="23" t="s">
        <v>212</v>
      </c>
      <c r="AO672" s="23" t="s">
        <v>418</v>
      </c>
      <c r="AP672" s="23" t="s">
        <v>523</v>
      </c>
      <c r="AQ672" s="23" t="s">
        <v>587</v>
      </c>
      <c r="AR672" s="23" t="s">
        <v>147</v>
      </c>
      <c r="AS672" s="23">
        <v>4</v>
      </c>
      <c r="AT672" s="23">
        <v>4</v>
      </c>
      <c r="AU672" s="23" t="s">
        <v>379</v>
      </c>
      <c r="AY672" s="64"/>
      <c r="DI672" s="23">
        <v>0.16350000000000001</v>
      </c>
      <c r="DJ672" s="23">
        <v>0.17910000000000001</v>
      </c>
      <c r="DK672" s="23" t="s">
        <v>525</v>
      </c>
      <c r="EJ672" s="12"/>
      <c r="EL672" s="15"/>
      <c r="FR672" s="23" t="s">
        <v>809</v>
      </c>
      <c r="FT672" s="23">
        <v>30</v>
      </c>
    </row>
    <row r="673" spans="1:176" s="23" customFormat="1" x14ac:dyDescent="0.25">
      <c r="A673" s="23">
        <v>30</v>
      </c>
      <c r="B673" s="23" t="s">
        <v>518</v>
      </c>
      <c r="C673" s="23" t="s">
        <v>519</v>
      </c>
      <c r="D673" s="23">
        <v>2002</v>
      </c>
      <c r="E673" s="23">
        <v>1999</v>
      </c>
      <c r="F673" s="23" t="s">
        <v>520</v>
      </c>
      <c r="G673" s="23" t="s">
        <v>521</v>
      </c>
      <c r="H673" s="23">
        <f t="shared" si="197"/>
        <v>38.533333333333331</v>
      </c>
      <c r="I673" s="23">
        <f t="shared" si="198"/>
        <v>-121.78333333333333</v>
      </c>
      <c r="J673" s="23">
        <v>18.399999999999999</v>
      </c>
      <c r="N673" s="23">
        <v>483</v>
      </c>
      <c r="P673" s="53">
        <v>3</v>
      </c>
      <c r="Q673" s="53"/>
      <c r="R673" s="53">
        <v>36234</v>
      </c>
      <c r="S673" s="53" t="s">
        <v>1574</v>
      </c>
      <c r="T673" s="53" t="s">
        <v>1571</v>
      </c>
      <c r="U673" s="53" t="s">
        <v>1593</v>
      </c>
      <c r="V673" s="53" t="s">
        <v>1913</v>
      </c>
      <c r="X673" s="23">
        <v>36</v>
      </c>
      <c r="Y673" s="23">
        <v>46</v>
      </c>
      <c r="Z673" s="23" t="s">
        <v>167</v>
      </c>
      <c r="AD673" s="23" t="s">
        <v>1491</v>
      </c>
      <c r="AE673" s="23" t="s">
        <v>1713</v>
      </c>
      <c r="AF673" s="152" t="s">
        <v>666</v>
      </c>
      <c r="AG673" s="23" t="s">
        <v>1768</v>
      </c>
      <c r="AH673" s="155" t="s">
        <v>1793</v>
      </c>
      <c r="AI673" s="23" t="s">
        <v>522</v>
      </c>
      <c r="AJ673" s="23" t="s">
        <v>522</v>
      </c>
      <c r="AK673" s="23" t="s">
        <v>212</v>
      </c>
      <c r="AO673" s="23" t="s">
        <v>418</v>
      </c>
      <c r="AP673" s="23" t="s">
        <v>524</v>
      </c>
      <c r="AQ673" s="23" t="s">
        <v>587</v>
      </c>
      <c r="AR673" s="23" t="s">
        <v>147</v>
      </c>
      <c r="AS673" s="23">
        <v>4</v>
      </c>
      <c r="AT673" s="23">
        <v>4</v>
      </c>
      <c r="AU673" s="23" t="s">
        <v>379</v>
      </c>
      <c r="AY673" s="64"/>
      <c r="DI673" s="23">
        <v>0.16350000000000001</v>
      </c>
      <c r="DJ673" s="23">
        <v>0.16259999999999999</v>
      </c>
      <c r="DK673" s="23" t="s">
        <v>525</v>
      </c>
      <c r="EJ673" s="12"/>
      <c r="EL673" s="15"/>
      <c r="FR673" s="23" t="s">
        <v>809</v>
      </c>
      <c r="FT673" s="23">
        <v>30</v>
      </c>
    </row>
    <row r="674" spans="1:176" s="23" customFormat="1" x14ac:dyDescent="0.25">
      <c r="A674" s="23">
        <v>30</v>
      </c>
      <c r="B674" s="23" t="s">
        <v>518</v>
      </c>
      <c r="C674" s="23" t="s">
        <v>519</v>
      </c>
      <c r="D674" s="23">
        <v>2002</v>
      </c>
      <c r="E674" s="23">
        <v>1999</v>
      </c>
      <c r="F674" s="23" t="s">
        <v>520</v>
      </c>
      <c r="G674" s="23" t="s">
        <v>521</v>
      </c>
      <c r="H674" s="23">
        <f t="shared" si="197"/>
        <v>38.533333333333331</v>
      </c>
      <c r="I674" s="23">
        <f t="shared" si="198"/>
        <v>-121.78333333333333</v>
      </c>
      <c r="J674" s="23">
        <v>18.399999999999999</v>
      </c>
      <c r="N674" s="23">
        <v>483</v>
      </c>
      <c r="P674" s="53">
        <v>3</v>
      </c>
      <c r="Q674" s="53"/>
      <c r="R674" s="53">
        <v>36514</v>
      </c>
      <c r="S674" s="53" t="s">
        <v>1574</v>
      </c>
      <c r="T674" s="53" t="s">
        <v>1571</v>
      </c>
      <c r="U674" s="53" t="s">
        <v>1593</v>
      </c>
      <c r="V674" s="53" t="s">
        <v>1913</v>
      </c>
      <c r="X674" s="23">
        <v>36</v>
      </c>
      <c r="Y674" s="23">
        <v>46</v>
      </c>
      <c r="Z674" s="23" t="s">
        <v>167</v>
      </c>
      <c r="AD674" s="23" t="s">
        <v>1491</v>
      </c>
      <c r="AE674" s="23" t="s">
        <v>1713</v>
      </c>
      <c r="AF674" s="152" t="s">
        <v>666</v>
      </c>
      <c r="AG674" s="23" t="s">
        <v>1768</v>
      </c>
      <c r="AH674" s="155" t="s">
        <v>1793</v>
      </c>
      <c r="AI674" s="23" t="s">
        <v>522</v>
      </c>
      <c r="AJ674" s="23" t="s">
        <v>522</v>
      </c>
      <c r="AK674" s="23" t="s">
        <v>212</v>
      </c>
      <c r="AO674" s="23" t="s">
        <v>418</v>
      </c>
      <c r="AP674" s="23" t="s">
        <v>523</v>
      </c>
      <c r="AQ674" s="23" t="s">
        <v>587</v>
      </c>
      <c r="AR674" s="23" t="s">
        <v>147</v>
      </c>
      <c r="AS674" s="23">
        <v>4</v>
      </c>
      <c r="AT674" s="23">
        <v>4</v>
      </c>
      <c r="AU674" s="23" t="s">
        <v>379</v>
      </c>
      <c r="AY674" s="64"/>
      <c r="DI674" s="23">
        <v>0.1416</v>
      </c>
      <c r="DJ674" s="23">
        <v>0.18099999999999999</v>
      </c>
      <c r="DK674" s="23" t="s">
        <v>525</v>
      </c>
      <c r="EJ674" s="12"/>
      <c r="EL674" s="15"/>
      <c r="FR674" s="23" t="s">
        <v>809</v>
      </c>
      <c r="FT674" s="23">
        <v>30</v>
      </c>
    </row>
    <row r="675" spans="1:176" s="23" customFormat="1" x14ac:dyDescent="0.25">
      <c r="A675" s="23">
        <v>30</v>
      </c>
      <c r="B675" s="23" t="s">
        <v>518</v>
      </c>
      <c r="C675" s="23" t="s">
        <v>519</v>
      </c>
      <c r="D675" s="23">
        <v>2002</v>
      </c>
      <c r="E675" s="23">
        <v>1999</v>
      </c>
      <c r="F675" s="23" t="s">
        <v>520</v>
      </c>
      <c r="G675" s="23" t="s">
        <v>521</v>
      </c>
      <c r="H675" s="23">
        <f t="shared" si="197"/>
        <v>38.533333333333331</v>
      </c>
      <c r="I675" s="23">
        <f t="shared" si="198"/>
        <v>-121.78333333333333</v>
      </c>
      <c r="J675" s="23">
        <v>18.399999999999999</v>
      </c>
      <c r="N675" s="23">
        <v>483</v>
      </c>
      <c r="P675" s="53">
        <v>3</v>
      </c>
      <c r="Q675" s="53"/>
      <c r="R675" s="53">
        <v>36514</v>
      </c>
      <c r="S675" s="53" t="s">
        <v>1574</v>
      </c>
      <c r="T675" s="53" t="s">
        <v>1571</v>
      </c>
      <c r="U675" s="53" t="s">
        <v>1593</v>
      </c>
      <c r="V675" s="53" t="s">
        <v>1913</v>
      </c>
      <c r="X675" s="23">
        <v>36</v>
      </c>
      <c r="Y675" s="23">
        <v>46</v>
      </c>
      <c r="Z675" s="23" t="s">
        <v>167</v>
      </c>
      <c r="AD675" s="23" t="s">
        <v>1491</v>
      </c>
      <c r="AE675" s="23" t="s">
        <v>1713</v>
      </c>
      <c r="AF675" s="152" t="s">
        <v>666</v>
      </c>
      <c r="AG675" s="23" t="s">
        <v>1768</v>
      </c>
      <c r="AH675" s="155" t="s">
        <v>1793</v>
      </c>
      <c r="AI675" s="23" t="s">
        <v>522</v>
      </c>
      <c r="AJ675" s="23" t="s">
        <v>522</v>
      </c>
      <c r="AK675" s="23" t="s">
        <v>212</v>
      </c>
      <c r="AO675" s="23" t="s">
        <v>418</v>
      </c>
      <c r="AP675" s="23" t="s">
        <v>524</v>
      </c>
      <c r="AQ675" s="23" t="s">
        <v>587</v>
      </c>
      <c r="AR675" s="23" t="s">
        <v>147</v>
      </c>
      <c r="AS675" s="23">
        <v>4</v>
      </c>
      <c r="AT675" s="23">
        <v>4</v>
      </c>
      <c r="AU675" s="23" t="s">
        <v>379</v>
      </c>
      <c r="AY675" s="64"/>
      <c r="DI675" s="23">
        <v>0.1416</v>
      </c>
      <c r="DJ675" s="23">
        <v>0.17</v>
      </c>
      <c r="DK675" s="23" t="s">
        <v>525</v>
      </c>
      <c r="EJ675" s="12"/>
      <c r="EL675" s="15"/>
      <c r="FR675" s="23" t="s">
        <v>809</v>
      </c>
      <c r="FT675" s="23">
        <v>30</v>
      </c>
    </row>
    <row r="676" spans="1:176" s="23" customFormat="1" x14ac:dyDescent="0.25">
      <c r="A676" s="23">
        <v>30</v>
      </c>
      <c r="B676" s="23" t="s">
        <v>518</v>
      </c>
      <c r="C676" s="23" t="s">
        <v>519</v>
      </c>
      <c r="D676" s="23">
        <v>2002</v>
      </c>
      <c r="E676" s="23">
        <v>2000</v>
      </c>
      <c r="F676" s="23" t="s">
        <v>520</v>
      </c>
      <c r="G676" s="23" t="s">
        <v>521</v>
      </c>
      <c r="H676" s="23">
        <f t="shared" si="197"/>
        <v>38.533333333333331</v>
      </c>
      <c r="I676" s="23">
        <f t="shared" si="198"/>
        <v>-121.78333333333333</v>
      </c>
      <c r="J676" s="23">
        <v>18.399999999999999</v>
      </c>
      <c r="N676" s="23">
        <v>483</v>
      </c>
      <c r="P676" s="53">
        <v>4</v>
      </c>
      <c r="Q676" s="53"/>
      <c r="R676" s="53">
        <v>36535</v>
      </c>
      <c r="S676" s="53" t="s">
        <v>1574</v>
      </c>
      <c r="T676" s="53" t="s">
        <v>1571</v>
      </c>
      <c r="U676" s="53" t="s">
        <v>1593</v>
      </c>
      <c r="V676" s="53" t="s">
        <v>1913</v>
      </c>
      <c r="X676" s="23">
        <v>36</v>
      </c>
      <c r="Y676" s="23">
        <v>46</v>
      </c>
      <c r="Z676" s="23" t="s">
        <v>167</v>
      </c>
      <c r="AD676" s="23" t="s">
        <v>1491</v>
      </c>
      <c r="AE676" s="23" t="s">
        <v>1713</v>
      </c>
      <c r="AF676" s="152" t="s">
        <v>666</v>
      </c>
      <c r="AG676" s="23" t="s">
        <v>1768</v>
      </c>
      <c r="AH676" s="155" t="s">
        <v>1793</v>
      </c>
      <c r="AI676" s="23" t="s">
        <v>522</v>
      </c>
      <c r="AJ676" s="23" t="s">
        <v>522</v>
      </c>
      <c r="AK676" s="23" t="s">
        <v>212</v>
      </c>
      <c r="AO676" s="23" t="s">
        <v>418</v>
      </c>
      <c r="AP676" s="23" t="s">
        <v>523</v>
      </c>
      <c r="AQ676" s="23" t="s">
        <v>587</v>
      </c>
      <c r="AR676" s="23" t="s">
        <v>147</v>
      </c>
      <c r="AS676" s="23">
        <v>4</v>
      </c>
      <c r="AT676" s="23">
        <v>4</v>
      </c>
      <c r="AU676" s="23" t="s">
        <v>379</v>
      </c>
      <c r="AY676" s="64"/>
      <c r="DI676" s="23">
        <v>0.14069999999999999</v>
      </c>
      <c r="DJ676" s="23">
        <v>0.1865</v>
      </c>
      <c r="DK676" s="23" t="s">
        <v>525</v>
      </c>
      <c r="EJ676" s="12"/>
      <c r="EL676" s="15"/>
      <c r="FR676" s="23" t="s">
        <v>809</v>
      </c>
      <c r="FT676" s="23">
        <v>30</v>
      </c>
    </row>
    <row r="677" spans="1:176" s="23" customFormat="1" x14ac:dyDescent="0.25">
      <c r="A677" s="23">
        <v>30</v>
      </c>
      <c r="B677" s="23" t="s">
        <v>518</v>
      </c>
      <c r="C677" s="23" t="s">
        <v>519</v>
      </c>
      <c r="D677" s="23">
        <v>2002</v>
      </c>
      <c r="E677" s="23">
        <v>2000</v>
      </c>
      <c r="F677" s="23" t="s">
        <v>520</v>
      </c>
      <c r="G677" s="23" t="s">
        <v>521</v>
      </c>
      <c r="H677" s="23">
        <f t="shared" si="197"/>
        <v>38.533333333333331</v>
      </c>
      <c r="I677" s="23">
        <f t="shared" si="198"/>
        <v>-121.78333333333333</v>
      </c>
      <c r="J677" s="23">
        <v>18.399999999999999</v>
      </c>
      <c r="N677" s="23">
        <v>483</v>
      </c>
      <c r="P677" s="53">
        <v>4</v>
      </c>
      <c r="Q677" s="53"/>
      <c r="R677" s="53">
        <v>36535</v>
      </c>
      <c r="S677" s="53" t="s">
        <v>1574</v>
      </c>
      <c r="T677" s="53" t="s">
        <v>1571</v>
      </c>
      <c r="U677" s="53" t="s">
        <v>1593</v>
      </c>
      <c r="V677" s="53" t="s">
        <v>1913</v>
      </c>
      <c r="X677" s="23">
        <v>36</v>
      </c>
      <c r="Y677" s="23">
        <v>46</v>
      </c>
      <c r="Z677" s="23" t="s">
        <v>167</v>
      </c>
      <c r="AD677" s="23" t="s">
        <v>1491</v>
      </c>
      <c r="AE677" s="23" t="s">
        <v>1713</v>
      </c>
      <c r="AF677" s="152" t="s">
        <v>666</v>
      </c>
      <c r="AG677" s="23" t="s">
        <v>1768</v>
      </c>
      <c r="AH677" s="155" t="s">
        <v>1793</v>
      </c>
      <c r="AI677" s="23" t="s">
        <v>522</v>
      </c>
      <c r="AJ677" s="23" t="s">
        <v>522</v>
      </c>
      <c r="AK677" s="23" t="s">
        <v>212</v>
      </c>
      <c r="AO677" s="23" t="s">
        <v>418</v>
      </c>
      <c r="AP677" s="23" t="s">
        <v>524</v>
      </c>
      <c r="AQ677" s="23" t="s">
        <v>587</v>
      </c>
      <c r="AR677" s="23" t="s">
        <v>147</v>
      </c>
      <c r="AS677" s="23">
        <v>4</v>
      </c>
      <c r="AT677" s="23">
        <v>4</v>
      </c>
      <c r="AU677" s="23" t="s">
        <v>379</v>
      </c>
      <c r="AY677" s="64"/>
      <c r="DI677" s="23">
        <v>0.14069999999999999</v>
      </c>
      <c r="DJ677" s="23">
        <v>0.17280000000000001</v>
      </c>
      <c r="DK677" s="23" t="s">
        <v>525</v>
      </c>
      <c r="EJ677" s="12"/>
      <c r="EL677" s="15"/>
      <c r="FR677" s="23" t="s">
        <v>809</v>
      </c>
      <c r="FT677" s="23">
        <v>30</v>
      </c>
    </row>
    <row r="678" spans="1:176" s="23" customFormat="1" x14ac:dyDescent="0.25">
      <c r="A678" s="23">
        <v>30</v>
      </c>
      <c r="B678" s="23" t="s">
        <v>518</v>
      </c>
      <c r="C678" s="23" t="s">
        <v>519</v>
      </c>
      <c r="D678" s="23">
        <v>2002</v>
      </c>
      <c r="E678" s="23">
        <v>2000</v>
      </c>
      <c r="F678" s="23" t="s">
        <v>520</v>
      </c>
      <c r="G678" s="23" t="s">
        <v>521</v>
      </c>
      <c r="H678" s="23">
        <f t="shared" si="197"/>
        <v>38.533333333333331</v>
      </c>
      <c r="I678" s="23">
        <f t="shared" si="198"/>
        <v>-121.78333333333333</v>
      </c>
      <c r="J678" s="23">
        <v>18.399999999999999</v>
      </c>
      <c r="N678" s="23">
        <v>483</v>
      </c>
      <c r="P678" s="53">
        <v>4</v>
      </c>
      <c r="Q678" s="53"/>
      <c r="R678" s="53">
        <v>36541</v>
      </c>
      <c r="S678" s="53" t="s">
        <v>1574</v>
      </c>
      <c r="T678" s="53" t="s">
        <v>1571</v>
      </c>
      <c r="U678" s="53" t="s">
        <v>1593</v>
      </c>
      <c r="V678" s="53" t="s">
        <v>1913</v>
      </c>
      <c r="X678" s="23">
        <v>36</v>
      </c>
      <c r="Y678" s="23">
        <v>46</v>
      </c>
      <c r="Z678" s="23" t="s">
        <v>167</v>
      </c>
      <c r="AD678" s="23" t="s">
        <v>1491</v>
      </c>
      <c r="AE678" s="23" t="s">
        <v>1713</v>
      </c>
      <c r="AF678" s="152" t="s">
        <v>666</v>
      </c>
      <c r="AG678" s="23" t="s">
        <v>1768</v>
      </c>
      <c r="AH678" s="155" t="s">
        <v>1793</v>
      </c>
      <c r="AI678" s="23" t="s">
        <v>522</v>
      </c>
      <c r="AJ678" s="23" t="s">
        <v>522</v>
      </c>
      <c r="AK678" s="23" t="s">
        <v>212</v>
      </c>
      <c r="AO678" s="23" t="s">
        <v>418</v>
      </c>
      <c r="AP678" s="23" t="s">
        <v>523</v>
      </c>
      <c r="AQ678" s="23" t="s">
        <v>587</v>
      </c>
      <c r="AR678" s="23" t="s">
        <v>147</v>
      </c>
      <c r="AS678" s="23">
        <v>4</v>
      </c>
      <c r="AT678" s="23">
        <v>4</v>
      </c>
      <c r="AU678" s="23" t="s">
        <v>379</v>
      </c>
      <c r="AY678" s="64"/>
      <c r="DI678" s="23">
        <v>0.1416</v>
      </c>
      <c r="DJ678" s="23">
        <v>0.1875</v>
      </c>
      <c r="DK678" s="23" t="s">
        <v>525</v>
      </c>
      <c r="EJ678" s="12"/>
      <c r="EL678" s="15"/>
      <c r="FR678" s="23" t="s">
        <v>809</v>
      </c>
      <c r="FT678" s="23">
        <v>30</v>
      </c>
    </row>
    <row r="679" spans="1:176" s="23" customFormat="1" x14ac:dyDescent="0.25">
      <c r="A679" s="23">
        <v>30</v>
      </c>
      <c r="B679" s="23" t="s">
        <v>518</v>
      </c>
      <c r="C679" s="23" t="s">
        <v>519</v>
      </c>
      <c r="D679" s="23">
        <v>2002</v>
      </c>
      <c r="E679" s="23">
        <v>2000</v>
      </c>
      <c r="F679" s="23" t="s">
        <v>520</v>
      </c>
      <c r="G679" s="23" t="s">
        <v>521</v>
      </c>
      <c r="H679" s="23">
        <f t="shared" si="197"/>
        <v>38.533333333333331</v>
      </c>
      <c r="I679" s="23">
        <f t="shared" si="198"/>
        <v>-121.78333333333333</v>
      </c>
      <c r="J679" s="23">
        <v>18.399999999999999</v>
      </c>
      <c r="N679" s="23">
        <v>483</v>
      </c>
      <c r="P679" s="53">
        <v>4</v>
      </c>
      <c r="Q679" s="53"/>
      <c r="R679" s="53">
        <v>36541</v>
      </c>
      <c r="S679" s="53" t="s">
        <v>1574</v>
      </c>
      <c r="T679" s="53" t="s">
        <v>1571</v>
      </c>
      <c r="U679" s="53" t="s">
        <v>1593</v>
      </c>
      <c r="V679" s="53" t="s">
        <v>1913</v>
      </c>
      <c r="X679" s="23">
        <v>36</v>
      </c>
      <c r="Y679" s="23">
        <v>46</v>
      </c>
      <c r="Z679" s="23" t="s">
        <v>167</v>
      </c>
      <c r="AD679" s="23" t="s">
        <v>1491</v>
      </c>
      <c r="AE679" s="23" t="s">
        <v>1713</v>
      </c>
      <c r="AF679" s="152" t="s">
        <v>666</v>
      </c>
      <c r="AG679" s="23" t="s">
        <v>1768</v>
      </c>
      <c r="AH679" s="155" t="s">
        <v>1793</v>
      </c>
      <c r="AI679" s="23" t="s">
        <v>522</v>
      </c>
      <c r="AJ679" s="23" t="s">
        <v>522</v>
      </c>
      <c r="AK679" s="23" t="s">
        <v>212</v>
      </c>
      <c r="AO679" s="23" t="s">
        <v>418</v>
      </c>
      <c r="AP679" s="23" t="s">
        <v>524</v>
      </c>
      <c r="AQ679" s="23" t="s">
        <v>587</v>
      </c>
      <c r="AR679" s="23" t="s">
        <v>147</v>
      </c>
      <c r="AS679" s="23">
        <v>4</v>
      </c>
      <c r="AT679" s="23">
        <v>4</v>
      </c>
      <c r="AU679" s="23" t="s">
        <v>379</v>
      </c>
      <c r="AY679" s="64"/>
      <c r="DI679" s="23">
        <v>0.1416</v>
      </c>
      <c r="DJ679" s="23">
        <v>0.17280000000000001</v>
      </c>
      <c r="DK679" s="23" t="s">
        <v>525</v>
      </c>
      <c r="EJ679" s="12"/>
      <c r="EL679" s="15"/>
      <c r="FR679" s="23" t="s">
        <v>809</v>
      </c>
      <c r="FT679" s="23">
        <v>30</v>
      </c>
    </row>
    <row r="680" spans="1:176" s="23" customFormat="1" x14ac:dyDescent="0.25">
      <c r="A680" s="23">
        <v>30</v>
      </c>
      <c r="B680" s="23" t="s">
        <v>518</v>
      </c>
      <c r="C680" s="23" t="s">
        <v>519</v>
      </c>
      <c r="D680" s="23">
        <v>2002</v>
      </c>
      <c r="E680" s="23">
        <v>2000</v>
      </c>
      <c r="F680" s="23" t="s">
        <v>520</v>
      </c>
      <c r="G680" s="23" t="s">
        <v>521</v>
      </c>
      <c r="H680" s="23">
        <f t="shared" si="197"/>
        <v>38.533333333333331</v>
      </c>
      <c r="I680" s="23">
        <f t="shared" si="198"/>
        <v>-121.78333333333333</v>
      </c>
      <c r="J680" s="23">
        <v>18.399999999999999</v>
      </c>
      <c r="N680" s="23">
        <v>483</v>
      </c>
      <c r="P680" s="53">
        <v>4</v>
      </c>
      <c r="Q680" s="53"/>
      <c r="R680" s="53">
        <v>36549</v>
      </c>
      <c r="S680" s="53" t="s">
        <v>1574</v>
      </c>
      <c r="T680" s="53" t="s">
        <v>1571</v>
      </c>
      <c r="U680" s="53" t="s">
        <v>1593</v>
      </c>
      <c r="V680" s="53" t="s">
        <v>1913</v>
      </c>
      <c r="X680" s="23">
        <v>36</v>
      </c>
      <c r="Y680" s="23">
        <v>46</v>
      </c>
      <c r="Z680" s="23" t="s">
        <v>167</v>
      </c>
      <c r="AD680" s="23" t="s">
        <v>1491</v>
      </c>
      <c r="AE680" s="23" t="s">
        <v>1713</v>
      </c>
      <c r="AF680" s="152" t="s">
        <v>666</v>
      </c>
      <c r="AG680" s="23" t="s">
        <v>1768</v>
      </c>
      <c r="AH680" s="155" t="s">
        <v>1793</v>
      </c>
      <c r="AI680" s="23" t="s">
        <v>522</v>
      </c>
      <c r="AJ680" s="23" t="s">
        <v>522</v>
      </c>
      <c r="AK680" s="23" t="s">
        <v>212</v>
      </c>
      <c r="AO680" s="23" t="s">
        <v>418</v>
      </c>
      <c r="AP680" s="23" t="s">
        <v>523</v>
      </c>
      <c r="AQ680" s="23" t="s">
        <v>587</v>
      </c>
      <c r="AR680" s="23" t="s">
        <v>147</v>
      </c>
      <c r="AS680" s="23">
        <v>4</v>
      </c>
      <c r="AT680" s="23">
        <v>4</v>
      </c>
      <c r="AU680" s="23" t="s">
        <v>379</v>
      </c>
      <c r="AY680" s="64"/>
      <c r="DI680" s="23">
        <v>0.1389</v>
      </c>
      <c r="DJ680" s="23">
        <v>0.1875</v>
      </c>
      <c r="DK680" s="23" t="s">
        <v>525</v>
      </c>
      <c r="EJ680" s="12"/>
      <c r="EL680" s="15"/>
      <c r="FR680" s="23" t="s">
        <v>809</v>
      </c>
      <c r="FT680" s="23">
        <v>30</v>
      </c>
    </row>
    <row r="681" spans="1:176" s="23" customFormat="1" x14ac:dyDescent="0.25">
      <c r="A681" s="23">
        <v>30</v>
      </c>
      <c r="B681" s="23" t="s">
        <v>518</v>
      </c>
      <c r="C681" s="23" t="s">
        <v>519</v>
      </c>
      <c r="D681" s="23">
        <v>2002</v>
      </c>
      <c r="E681" s="23">
        <v>2000</v>
      </c>
      <c r="F681" s="23" t="s">
        <v>520</v>
      </c>
      <c r="G681" s="23" t="s">
        <v>521</v>
      </c>
      <c r="H681" s="23">
        <f t="shared" si="197"/>
        <v>38.533333333333331</v>
      </c>
      <c r="I681" s="23">
        <f t="shared" si="198"/>
        <v>-121.78333333333333</v>
      </c>
      <c r="J681" s="23">
        <v>18.399999999999999</v>
      </c>
      <c r="N681" s="23">
        <v>483</v>
      </c>
      <c r="P681" s="53">
        <v>4</v>
      </c>
      <c r="Q681" s="53"/>
      <c r="R681" s="53">
        <v>36549</v>
      </c>
      <c r="S681" s="53" t="s">
        <v>1574</v>
      </c>
      <c r="T681" s="53" t="s">
        <v>1571</v>
      </c>
      <c r="U681" s="53" t="s">
        <v>1593</v>
      </c>
      <c r="V681" s="53" t="s">
        <v>1913</v>
      </c>
      <c r="X681" s="23">
        <v>36</v>
      </c>
      <c r="Y681" s="23">
        <v>46</v>
      </c>
      <c r="Z681" s="23" t="s">
        <v>167</v>
      </c>
      <c r="AD681" s="23" t="s">
        <v>1491</v>
      </c>
      <c r="AE681" s="23" t="s">
        <v>1713</v>
      </c>
      <c r="AF681" s="152" t="s">
        <v>666</v>
      </c>
      <c r="AG681" s="23" t="s">
        <v>1768</v>
      </c>
      <c r="AH681" s="155" t="s">
        <v>1793</v>
      </c>
      <c r="AI681" s="23" t="s">
        <v>522</v>
      </c>
      <c r="AJ681" s="23" t="s">
        <v>522</v>
      </c>
      <c r="AK681" s="23" t="s">
        <v>212</v>
      </c>
      <c r="AO681" s="23" t="s">
        <v>418</v>
      </c>
      <c r="AP681" s="23" t="s">
        <v>524</v>
      </c>
      <c r="AQ681" s="23" t="s">
        <v>587</v>
      </c>
      <c r="AR681" s="23" t="s">
        <v>147</v>
      </c>
      <c r="AS681" s="23">
        <v>4</v>
      </c>
      <c r="AT681" s="23">
        <v>4</v>
      </c>
      <c r="AU681" s="23" t="s">
        <v>379</v>
      </c>
      <c r="AY681" s="64"/>
      <c r="DI681" s="23">
        <v>0.1389</v>
      </c>
      <c r="DJ681" s="23">
        <v>0.17469999999999999</v>
      </c>
      <c r="DK681" s="23" t="s">
        <v>525</v>
      </c>
      <c r="EJ681" s="12"/>
      <c r="EL681" s="15"/>
      <c r="FR681" s="23" t="s">
        <v>809</v>
      </c>
      <c r="FT681" s="23">
        <v>30</v>
      </c>
    </row>
    <row r="682" spans="1:176" s="23" customFormat="1" x14ac:dyDescent="0.25">
      <c r="A682" s="23">
        <v>30</v>
      </c>
      <c r="B682" s="23" t="s">
        <v>518</v>
      </c>
      <c r="C682" s="23" t="s">
        <v>519</v>
      </c>
      <c r="D682" s="23">
        <v>2002</v>
      </c>
      <c r="E682" s="23">
        <v>2000</v>
      </c>
      <c r="F682" s="23" t="s">
        <v>520</v>
      </c>
      <c r="G682" s="23" t="s">
        <v>521</v>
      </c>
      <c r="H682" s="23">
        <f t="shared" si="197"/>
        <v>38.533333333333331</v>
      </c>
      <c r="I682" s="23">
        <f t="shared" si="198"/>
        <v>-121.78333333333333</v>
      </c>
      <c r="J682" s="23">
        <v>18.399999999999999</v>
      </c>
      <c r="N682" s="23">
        <v>483</v>
      </c>
      <c r="P682" s="53">
        <v>4</v>
      </c>
      <c r="Q682" s="53"/>
      <c r="R682" s="53">
        <v>36562</v>
      </c>
      <c r="S682" s="53" t="s">
        <v>1574</v>
      </c>
      <c r="T682" s="53" t="s">
        <v>1571</v>
      </c>
      <c r="U682" s="53" t="s">
        <v>1593</v>
      </c>
      <c r="V682" s="53" t="s">
        <v>1913</v>
      </c>
      <c r="X682" s="23">
        <v>36</v>
      </c>
      <c r="Y682" s="23">
        <v>46</v>
      </c>
      <c r="Z682" s="23" t="s">
        <v>167</v>
      </c>
      <c r="AD682" s="23" t="s">
        <v>1491</v>
      </c>
      <c r="AE682" s="23" t="s">
        <v>1713</v>
      </c>
      <c r="AF682" s="152" t="s">
        <v>666</v>
      </c>
      <c r="AG682" s="23" t="s">
        <v>1768</v>
      </c>
      <c r="AH682" s="155" t="s">
        <v>1793</v>
      </c>
      <c r="AI682" s="23" t="s">
        <v>522</v>
      </c>
      <c r="AJ682" s="23" t="s">
        <v>522</v>
      </c>
      <c r="AK682" s="23" t="s">
        <v>212</v>
      </c>
      <c r="AO682" s="23" t="s">
        <v>418</v>
      </c>
      <c r="AP682" s="23" t="s">
        <v>523</v>
      </c>
      <c r="AQ682" s="23" t="s">
        <v>587</v>
      </c>
      <c r="AR682" s="23" t="s">
        <v>147</v>
      </c>
      <c r="AS682" s="23">
        <v>4</v>
      </c>
      <c r="AT682" s="23">
        <v>4</v>
      </c>
      <c r="AU682" s="23" t="s">
        <v>379</v>
      </c>
      <c r="AY682" s="64"/>
      <c r="DI682" s="23">
        <v>0.14530000000000001</v>
      </c>
      <c r="DJ682" s="23">
        <v>0.18940000000000001</v>
      </c>
      <c r="DK682" s="23" t="s">
        <v>525</v>
      </c>
      <c r="EJ682" s="12"/>
      <c r="EL682" s="15"/>
      <c r="FR682" s="23" t="s">
        <v>809</v>
      </c>
      <c r="FT682" s="23">
        <v>30</v>
      </c>
    </row>
    <row r="683" spans="1:176" s="23" customFormat="1" x14ac:dyDescent="0.25">
      <c r="A683" s="23">
        <v>30</v>
      </c>
      <c r="B683" s="23" t="s">
        <v>518</v>
      </c>
      <c r="C683" s="23" t="s">
        <v>519</v>
      </c>
      <c r="D683" s="23">
        <v>2002</v>
      </c>
      <c r="E683" s="23">
        <v>2000</v>
      </c>
      <c r="F683" s="23" t="s">
        <v>520</v>
      </c>
      <c r="G683" s="23" t="s">
        <v>521</v>
      </c>
      <c r="H683" s="23">
        <f t="shared" si="197"/>
        <v>38.533333333333331</v>
      </c>
      <c r="I683" s="23">
        <f t="shared" si="198"/>
        <v>-121.78333333333333</v>
      </c>
      <c r="J683" s="23">
        <v>18.399999999999999</v>
      </c>
      <c r="N683" s="23">
        <v>483</v>
      </c>
      <c r="P683" s="53">
        <v>4</v>
      </c>
      <c r="Q683" s="53"/>
      <c r="R683" s="53">
        <v>36562</v>
      </c>
      <c r="S683" s="53" t="s">
        <v>1574</v>
      </c>
      <c r="T683" s="53" t="s">
        <v>1571</v>
      </c>
      <c r="U683" s="53" t="s">
        <v>1593</v>
      </c>
      <c r="V683" s="53" t="s">
        <v>1913</v>
      </c>
      <c r="X683" s="23">
        <v>36</v>
      </c>
      <c r="Y683" s="23">
        <v>46</v>
      </c>
      <c r="Z683" s="23" t="s">
        <v>167</v>
      </c>
      <c r="AD683" s="23" t="s">
        <v>1491</v>
      </c>
      <c r="AE683" s="23" t="s">
        <v>1713</v>
      </c>
      <c r="AF683" s="152" t="s">
        <v>666</v>
      </c>
      <c r="AG683" s="23" t="s">
        <v>1768</v>
      </c>
      <c r="AH683" s="155" t="s">
        <v>1793</v>
      </c>
      <c r="AI683" s="23" t="s">
        <v>522</v>
      </c>
      <c r="AJ683" s="23" t="s">
        <v>522</v>
      </c>
      <c r="AK683" s="23" t="s">
        <v>212</v>
      </c>
      <c r="AO683" s="23" t="s">
        <v>418</v>
      </c>
      <c r="AP683" s="23" t="s">
        <v>524</v>
      </c>
      <c r="AQ683" s="23" t="s">
        <v>587</v>
      </c>
      <c r="AR683" s="23" t="s">
        <v>147</v>
      </c>
      <c r="AS683" s="23">
        <v>4</v>
      </c>
      <c r="AT683" s="23">
        <v>4</v>
      </c>
      <c r="AU683" s="23" t="s">
        <v>379</v>
      </c>
      <c r="AY683" s="64"/>
      <c r="DI683" s="23">
        <v>0.14530000000000001</v>
      </c>
      <c r="DJ683" s="23">
        <v>0.1774</v>
      </c>
      <c r="DK683" s="23" t="s">
        <v>525</v>
      </c>
      <c r="EJ683" s="12"/>
      <c r="EL683" s="15"/>
      <c r="FR683" s="23" t="s">
        <v>809</v>
      </c>
      <c r="FT683" s="23">
        <v>30</v>
      </c>
    </row>
    <row r="684" spans="1:176" s="23" customFormat="1" x14ac:dyDescent="0.25">
      <c r="A684" s="23">
        <v>30</v>
      </c>
      <c r="B684" s="23" t="s">
        <v>518</v>
      </c>
      <c r="C684" s="23" t="s">
        <v>519</v>
      </c>
      <c r="D684" s="23">
        <v>2002</v>
      </c>
      <c r="E684" s="23">
        <v>2000</v>
      </c>
      <c r="F684" s="23" t="s">
        <v>520</v>
      </c>
      <c r="G684" s="23" t="s">
        <v>521</v>
      </c>
      <c r="H684" s="23">
        <f t="shared" si="197"/>
        <v>38.533333333333331</v>
      </c>
      <c r="I684" s="23">
        <f t="shared" si="198"/>
        <v>-121.78333333333333</v>
      </c>
      <c r="J684" s="23">
        <v>18.399999999999999</v>
      </c>
      <c r="N684" s="23">
        <v>483</v>
      </c>
      <c r="P684" s="53">
        <v>4</v>
      </c>
      <c r="Q684" s="53"/>
      <c r="R684" s="53">
        <v>36566</v>
      </c>
      <c r="S684" s="53" t="s">
        <v>1574</v>
      </c>
      <c r="T684" s="53" t="s">
        <v>1571</v>
      </c>
      <c r="U684" s="53" t="s">
        <v>1593</v>
      </c>
      <c r="V684" s="53" t="s">
        <v>1913</v>
      </c>
      <c r="X684" s="23">
        <v>36</v>
      </c>
      <c r="Y684" s="23">
        <v>46</v>
      </c>
      <c r="Z684" s="23" t="s">
        <v>167</v>
      </c>
      <c r="AD684" s="23" t="s">
        <v>1491</v>
      </c>
      <c r="AE684" s="23" t="s">
        <v>1713</v>
      </c>
      <c r="AF684" s="152" t="s">
        <v>666</v>
      </c>
      <c r="AG684" s="23" t="s">
        <v>1768</v>
      </c>
      <c r="AH684" s="155" t="s">
        <v>1793</v>
      </c>
      <c r="AI684" s="23" t="s">
        <v>522</v>
      </c>
      <c r="AJ684" s="23" t="s">
        <v>522</v>
      </c>
      <c r="AK684" s="23" t="s">
        <v>212</v>
      </c>
      <c r="AO684" s="23" t="s">
        <v>418</v>
      </c>
      <c r="AP684" s="23" t="s">
        <v>523</v>
      </c>
      <c r="AQ684" s="23" t="s">
        <v>587</v>
      </c>
      <c r="AR684" s="23" t="s">
        <v>147</v>
      </c>
      <c r="AS684" s="23">
        <v>4</v>
      </c>
      <c r="AT684" s="23">
        <v>4</v>
      </c>
      <c r="AU684" s="23" t="s">
        <v>379</v>
      </c>
      <c r="AY684" s="64"/>
      <c r="DI684" s="23">
        <v>0.14630000000000001</v>
      </c>
      <c r="DJ684" s="23">
        <v>0.19489999999999999</v>
      </c>
      <c r="DK684" s="23" t="s">
        <v>525</v>
      </c>
      <c r="EJ684" s="12"/>
      <c r="EL684" s="15"/>
      <c r="FR684" s="23" t="s">
        <v>809</v>
      </c>
      <c r="FT684" s="23">
        <v>30</v>
      </c>
    </row>
    <row r="685" spans="1:176" s="23" customFormat="1" x14ac:dyDescent="0.25">
      <c r="A685" s="23">
        <v>30</v>
      </c>
      <c r="B685" s="23" t="s">
        <v>518</v>
      </c>
      <c r="C685" s="23" t="s">
        <v>519</v>
      </c>
      <c r="D685" s="23">
        <v>2002</v>
      </c>
      <c r="E685" s="23">
        <v>2000</v>
      </c>
      <c r="F685" s="23" t="s">
        <v>520</v>
      </c>
      <c r="G685" s="23" t="s">
        <v>521</v>
      </c>
      <c r="H685" s="23">
        <f t="shared" si="197"/>
        <v>38.533333333333331</v>
      </c>
      <c r="I685" s="23">
        <f t="shared" si="198"/>
        <v>-121.78333333333333</v>
      </c>
      <c r="J685" s="23">
        <v>18.399999999999999</v>
      </c>
      <c r="N685" s="23">
        <v>483</v>
      </c>
      <c r="P685" s="53">
        <v>4</v>
      </c>
      <c r="Q685" s="53"/>
      <c r="R685" s="53">
        <v>36566</v>
      </c>
      <c r="S685" s="53" t="s">
        <v>1574</v>
      </c>
      <c r="T685" s="53" t="s">
        <v>1571</v>
      </c>
      <c r="U685" s="53" t="s">
        <v>1593</v>
      </c>
      <c r="V685" s="53" t="s">
        <v>1913</v>
      </c>
      <c r="X685" s="23">
        <v>36</v>
      </c>
      <c r="Y685" s="23">
        <v>46</v>
      </c>
      <c r="Z685" s="23" t="s">
        <v>167</v>
      </c>
      <c r="AD685" s="23" t="s">
        <v>1491</v>
      </c>
      <c r="AE685" s="23" t="s">
        <v>1713</v>
      </c>
      <c r="AF685" s="152" t="s">
        <v>666</v>
      </c>
      <c r="AG685" s="23" t="s">
        <v>1768</v>
      </c>
      <c r="AH685" s="155" t="s">
        <v>1793</v>
      </c>
      <c r="AI685" s="23" t="s">
        <v>522</v>
      </c>
      <c r="AJ685" s="23" t="s">
        <v>522</v>
      </c>
      <c r="AK685" s="23" t="s">
        <v>212</v>
      </c>
      <c r="AO685" s="23" t="s">
        <v>418</v>
      </c>
      <c r="AP685" s="23" t="s">
        <v>524</v>
      </c>
      <c r="AQ685" s="23" t="s">
        <v>587</v>
      </c>
      <c r="AR685" s="23" t="s">
        <v>147</v>
      </c>
      <c r="AS685" s="23">
        <v>4</v>
      </c>
      <c r="AT685" s="23">
        <v>4</v>
      </c>
      <c r="AU685" s="23" t="s">
        <v>379</v>
      </c>
      <c r="AY685" s="64"/>
      <c r="DI685" s="23">
        <v>0.14630000000000001</v>
      </c>
      <c r="DJ685" s="23">
        <v>0.18110000000000001</v>
      </c>
      <c r="DK685" s="23" t="s">
        <v>525</v>
      </c>
      <c r="EJ685" s="12"/>
      <c r="EL685" s="15"/>
      <c r="FR685" s="23" t="s">
        <v>809</v>
      </c>
      <c r="FT685" s="23">
        <v>30</v>
      </c>
    </row>
    <row r="686" spans="1:176" s="23" customFormat="1" x14ac:dyDescent="0.25">
      <c r="A686" s="23">
        <v>30</v>
      </c>
      <c r="B686" s="23" t="s">
        <v>518</v>
      </c>
      <c r="C686" s="23" t="s">
        <v>519</v>
      </c>
      <c r="D686" s="23">
        <v>2002</v>
      </c>
      <c r="E686" s="23">
        <v>2000</v>
      </c>
      <c r="F686" s="23" t="s">
        <v>520</v>
      </c>
      <c r="G686" s="23" t="s">
        <v>521</v>
      </c>
      <c r="H686" s="23">
        <f t="shared" si="197"/>
        <v>38.533333333333331</v>
      </c>
      <c r="I686" s="23">
        <f t="shared" si="198"/>
        <v>-121.78333333333333</v>
      </c>
      <c r="J686" s="23">
        <v>18.399999999999999</v>
      </c>
      <c r="N686" s="23">
        <v>483</v>
      </c>
      <c r="P686" s="53">
        <v>4</v>
      </c>
      <c r="Q686" s="53"/>
      <c r="R686" s="53">
        <v>36572</v>
      </c>
      <c r="S686" s="53" t="s">
        <v>1574</v>
      </c>
      <c r="T686" s="53" t="s">
        <v>1571</v>
      </c>
      <c r="U686" s="53" t="s">
        <v>1593</v>
      </c>
      <c r="V686" s="53" t="s">
        <v>1913</v>
      </c>
      <c r="X686" s="23">
        <v>36</v>
      </c>
      <c r="Y686" s="23">
        <v>46</v>
      </c>
      <c r="Z686" s="23" t="s">
        <v>167</v>
      </c>
      <c r="AD686" s="23" t="s">
        <v>1491</v>
      </c>
      <c r="AE686" s="23" t="s">
        <v>1713</v>
      </c>
      <c r="AF686" s="152" t="s">
        <v>666</v>
      </c>
      <c r="AG686" s="23" t="s">
        <v>1768</v>
      </c>
      <c r="AH686" s="155" t="s">
        <v>1793</v>
      </c>
      <c r="AI686" s="23" t="s">
        <v>522</v>
      </c>
      <c r="AJ686" s="23" t="s">
        <v>522</v>
      </c>
      <c r="AK686" s="23" t="s">
        <v>212</v>
      </c>
      <c r="AO686" s="23" t="s">
        <v>418</v>
      </c>
      <c r="AP686" s="23" t="s">
        <v>523</v>
      </c>
      <c r="AQ686" s="23" t="s">
        <v>587</v>
      </c>
      <c r="AR686" s="23" t="s">
        <v>147</v>
      </c>
      <c r="AS686" s="23">
        <v>4</v>
      </c>
      <c r="AT686" s="23">
        <v>4</v>
      </c>
      <c r="AU686" s="23" t="s">
        <v>379</v>
      </c>
      <c r="AY686" s="64"/>
      <c r="DI686" s="23">
        <v>0.15640000000000001</v>
      </c>
      <c r="DJ686" s="23">
        <v>0.1958</v>
      </c>
      <c r="DK686" s="23" t="s">
        <v>525</v>
      </c>
      <c r="EJ686" s="12"/>
      <c r="EL686" s="15"/>
      <c r="FR686" s="23" t="s">
        <v>809</v>
      </c>
      <c r="FT686" s="23">
        <v>30</v>
      </c>
    </row>
    <row r="687" spans="1:176" s="23" customFormat="1" x14ac:dyDescent="0.25">
      <c r="A687" s="23">
        <v>30</v>
      </c>
      <c r="B687" s="23" t="s">
        <v>518</v>
      </c>
      <c r="C687" s="23" t="s">
        <v>519</v>
      </c>
      <c r="D687" s="23">
        <v>2002</v>
      </c>
      <c r="E687" s="23">
        <v>2000</v>
      </c>
      <c r="F687" s="23" t="s">
        <v>520</v>
      </c>
      <c r="G687" s="23" t="s">
        <v>521</v>
      </c>
      <c r="H687" s="23">
        <f t="shared" si="197"/>
        <v>38.533333333333331</v>
      </c>
      <c r="I687" s="23">
        <f t="shared" si="198"/>
        <v>-121.78333333333333</v>
      </c>
      <c r="J687" s="23">
        <v>18.399999999999999</v>
      </c>
      <c r="N687" s="23">
        <v>483</v>
      </c>
      <c r="P687" s="53">
        <v>4</v>
      </c>
      <c r="Q687" s="53"/>
      <c r="R687" s="53">
        <v>36572</v>
      </c>
      <c r="S687" s="53" t="s">
        <v>1574</v>
      </c>
      <c r="T687" s="53" t="s">
        <v>1571</v>
      </c>
      <c r="U687" s="53" t="s">
        <v>1593</v>
      </c>
      <c r="V687" s="53" t="s">
        <v>1913</v>
      </c>
      <c r="X687" s="23">
        <v>36</v>
      </c>
      <c r="Y687" s="23">
        <v>46</v>
      </c>
      <c r="Z687" s="23" t="s">
        <v>167</v>
      </c>
      <c r="AD687" s="23" t="s">
        <v>1491</v>
      </c>
      <c r="AE687" s="23" t="s">
        <v>1713</v>
      </c>
      <c r="AF687" s="152" t="s">
        <v>666</v>
      </c>
      <c r="AG687" s="23" t="s">
        <v>1768</v>
      </c>
      <c r="AH687" s="155" t="s">
        <v>1793</v>
      </c>
      <c r="AI687" s="23" t="s">
        <v>522</v>
      </c>
      <c r="AJ687" s="23" t="s">
        <v>522</v>
      </c>
      <c r="AK687" s="23" t="s">
        <v>212</v>
      </c>
      <c r="AO687" s="23" t="s">
        <v>418</v>
      </c>
      <c r="AP687" s="23" t="s">
        <v>524</v>
      </c>
      <c r="AQ687" s="23" t="s">
        <v>587</v>
      </c>
      <c r="AR687" s="23" t="s">
        <v>147</v>
      </c>
      <c r="AS687" s="23">
        <v>4</v>
      </c>
      <c r="AT687" s="23">
        <v>4</v>
      </c>
      <c r="AU687" s="23" t="s">
        <v>379</v>
      </c>
      <c r="AY687" s="64"/>
      <c r="DI687" s="23">
        <v>0.15640000000000001</v>
      </c>
      <c r="DJ687" s="23">
        <v>0.1958</v>
      </c>
      <c r="DK687" s="23" t="s">
        <v>525</v>
      </c>
      <c r="EJ687" s="12"/>
      <c r="EL687" s="15"/>
      <c r="FR687" s="23" t="s">
        <v>809</v>
      </c>
      <c r="FT687" s="23">
        <v>30</v>
      </c>
    </row>
    <row r="688" spans="1:176" s="23" customFormat="1" x14ac:dyDescent="0.25">
      <c r="A688" s="23">
        <v>30</v>
      </c>
      <c r="B688" s="23" t="s">
        <v>518</v>
      </c>
      <c r="C688" s="23" t="s">
        <v>519</v>
      </c>
      <c r="D688" s="23">
        <v>2002</v>
      </c>
      <c r="E688" s="23">
        <v>2000</v>
      </c>
      <c r="F688" s="23" t="s">
        <v>520</v>
      </c>
      <c r="G688" s="23" t="s">
        <v>521</v>
      </c>
      <c r="H688" s="23">
        <f t="shared" si="197"/>
        <v>38.533333333333331</v>
      </c>
      <c r="I688" s="23">
        <f t="shared" si="198"/>
        <v>-121.78333333333333</v>
      </c>
      <c r="J688" s="23">
        <v>18.399999999999999</v>
      </c>
      <c r="N688" s="23">
        <v>483</v>
      </c>
      <c r="P688" s="53">
        <v>4</v>
      </c>
      <c r="Q688" s="53"/>
      <c r="R688" s="53">
        <v>36582</v>
      </c>
      <c r="S688" s="53" t="s">
        <v>1574</v>
      </c>
      <c r="T688" s="53" t="s">
        <v>1571</v>
      </c>
      <c r="U688" s="53" t="s">
        <v>1593</v>
      </c>
      <c r="V688" s="53" t="s">
        <v>1913</v>
      </c>
      <c r="X688" s="23">
        <v>36</v>
      </c>
      <c r="Y688" s="23">
        <v>46</v>
      </c>
      <c r="Z688" s="23" t="s">
        <v>167</v>
      </c>
      <c r="AD688" s="23" t="s">
        <v>1491</v>
      </c>
      <c r="AE688" s="23" t="s">
        <v>1713</v>
      </c>
      <c r="AF688" s="152" t="s">
        <v>666</v>
      </c>
      <c r="AG688" s="23" t="s">
        <v>1768</v>
      </c>
      <c r="AH688" s="155" t="s">
        <v>1793</v>
      </c>
      <c r="AI688" s="23" t="s">
        <v>522</v>
      </c>
      <c r="AJ688" s="23" t="s">
        <v>522</v>
      </c>
      <c r="AK688" s="23" t="s">
        <v>212</v>
      </c>
      <c r="AO688" s="23" t="s">
        <v>418</v>
      </c>
      <c r="AP688" s="23" t="s">
        <v>523</v>
      </c>
      <c r="AQ688" s="23" t="s">
        <v>587</v>
      </c>
      <c r="AR688" s="23" t="s">
        <v>147</v>
      </c>
      <c r="AS688" s="23">
        <v>4</v>
      </c>
      <c r="AT688" s="23">
        <v>4</v>
      </c>
      <c r="AU688" s="23" t="s">
        <v>379</v>
      </c>
      <c r="AY688" s="64"/>
      <c r="DI688" s="23">
        <v>0.17100000000000001</v>
      </c>
      <c r="DJ688" s="23">
        <v>0.20399999999999999</v>
      </c>
      <c r="DK688" s="23" t="s">
        <v>525</v>
      </c>
      <c r="EJ688" s="12"/>
      <c r="EL688" s="15"/>
      <c r="FR688" s="23" t="s">
        <v>809</v>
      </c>
      <c r="FT688" s="23">
        <v>30</v>
      </c>
    </row>
    <row r="689" spans="1:176" s="23" customFormat="1" x14ac:dyDescent="0.25">
      <c r="A689" s="23">
        <v>30</v>
      </c>
      <c r="B689" s="23" t="s">
        <v>518</v>
      </c>
      <c r="C689" s="23" t="s">
        <v>519</v>
      </c>
      <c r="D689" s="23">
        <v>2002</v>
      </c>
      <c r="E689" s="23">
        <v>2000</v>
      </c>
      <c r="F689" s="23" t="s">
        <v>520</v>
      </c>
      <c r="G689" s="23" t="s">
        <v>521</v>
      </c>
      <c r="H689" s="23">
        <f t="shared" si="197"/>
        <v>38.533333333333331</v>
      </c>
      <c r="I689" s="23">
        <f t="shared" si="198"/>
        <v>-121.78333333333333</v>
      </c>
      <c r="J689" s="23">
        <v>18.399999999999999</v>
      </c>
      <c r="N689" s="23">
        <v>483</v>
      </c>
      <c r="P689" s="53">
        <v>4</v>
      </c>
      <c r="Q689" s="53"/>
      <c r="R689" s="53">
        <v>36582</v>
      </c>
      <c r="S689" s="53" t="s">
        <v>1574</v>
      </c>
      <c r="T689" s="53" t="s">
        <v>1571</v>
      </c>
      <c r="U689" s="53" t="s">
        <v>1593</v>
      </c>
      <c r="V689" s="53" t="s">
        <v>1913</v>
      </c>
      <c r="X689" s="23">
        <v>36</v>
      </c>
      <c r="Y689" s="23">
        <v>46</v>
      </c>
      <c r="Z689" s="23" t="s">
        <v>167</v>
      </c>
      <c r="AD689" s="23" t="s">
        <v>1491</v>
      </c>
      <c r="AE689" s="23" t="s">
        <v>1713</v>
      </c>
      <c r="AF689" s="152" t="s">
        <v>666</v>
      </c>
      <c r="AG689" s="23" t="s">
        <v>1768</v>
      </c>
      <c r="AH689" s="155" t="s">
        <v>1793</v>
      </c>
      <c r="AI689" s="23" t="s">
        <v>522</v>
      </c>
      <c r="AJ689" s="23" t="s">
        <v>522</v>
      </c>
      <c r="AK689" s="23" t="s">
        <v>212</v>
      </c>
      <c r="AO689" s="23" t="s">
        <v>418</v>
      </c>
      <c r="AP689" s="23" t="s">
        <v>524</v>
      </c>
      <c r="AQ689" s="23" t="s">
        <v>587</v>
      </c>
      <c r="AR689" s="23" t="s">
        <v>147</v>
      </c>
      <c r="AS689" s="23">
        <v>4</v>
      </c>
      <c r="AT689" s="23">
        <v>4</v>
      </c>
      <c r="AU689" s="23" t="s">
        <v>379</v>
      </c>
      <c r="AY689" s="64"/>
      <c r="DI689" s="23">
        <v>0.17100000000000001</v>
      </c>
      <c r="DJ689" s="23">
        <v>0.20399999999999999</v>
      </c>
      <c r="DK689" s="23" t="s">
        <v>525</v>
      </c>
      <c r="EJ689" s="12"/>
      <c r="EL689" s="15"/>
      <c r="FR689" s="23" t="s">
        <v>809</v>
      </c>
      <c r="FT689" s="23">
        <v>30</v>
      </c>
    </row>
    <row r="690" spans="1:176" s="23" customFormat="1" x14ac:dyDescent="0.25">
      <c r="A690" s="23">
        <v>30</v>
      </c>
      <c r="B690" s="23" t="s">
        <v>518</v>
      </c>
      <c r="C690" s="23" t="s">
        <v>519</v>
      </c>
      <c r="D690" s="23">
        <v>2002</v>
      </c>
      <c r="E690" s="23">
        <v>2000</v>
      </c>
      <c r="F690" s="23" t="s">
        <v>520</v>
      </c>
      <c r="G690" s="23" t="s">
        <v>521</v>
      </c>
      <c r="H690" s="23">
        <f t="shared" si="197"/>
        <v>38.533333333333331</v>
      </c>
      <c r="I690" s="23">
        <f t="shared" si="198"/>
        <v>-121.78333333333333</v>
      </c>
      <c r="J690" s="23">
        <v>18.399999999999999</v>
      </c>
      <c r="N690" s="23">
        <v>483</v>
      </c>
      <c r="P690" s="53">
        <v>4</v>
      </c>
      <c r="Q690" s="53"/>
      <c r="R690" s="53">
        <v>36587</v>
      </c>
      <c r="S690" s="53" t="s">
        <v>1574</v>
      </c>
      <c r="T690" s="53" t="s">
        <v>1571</v>
      </c>
      <c r="U690" s="53" t="s">
        <v>1593</v>
      </c>
      <c r="V690" s="53" t="s">
        <v>1913</v>
      </c>
      <c r="X690" s="23">
        <v>36</v>
      </c>
      <c r="Y690" s="23">
        <v>46</v>
      </c>
      <c r="Z690" s="23" t="s">
        <v>167</v>
      </c>
      <c r="AD690" s="23" t="s">
        <v>1491</v>
      </c>
      <c r="AE690" s="23" t="s">
        <v>1713</v>
      </c>
      <c r="AF690" s="152" t="s">
        <v>666</v>
      </c>
      <c r="AG690" s="23" t="s">
        <v>1768</v>
      </c>
      <c r="AH690" s="155" t="s">
        <v>1793</v>
      </c>
      <c r="AI690" s="23" t="s">
        <v>522</v>
      </c>
      <c r="AJ690" s="23" t="s">
        <v>522</v>
      </c>
      <c r="AK690" s="23" t="s">
        <v>212</v>
      </c>
      <c r="AO690" s="23" t="s">
        <v>418</v>
      </c>
      <c r="AP690" s="23" t="s">
        <v>523</v>
      </c>
      <c r="AQ690" s="23" t="s">
        <v>587</v>
      </c>
      <c r="AR690" s="23" t="s">
        <v>147</v>
      </c>
      <c r="AS690" s="23">
        <v>4</v>
      </c>
      <c r="AT690" s="23">
        <v>4</v>
      </c>
      <c r="AU690" s="23" t="s">
        <v>379</v>
      </c>
      <c r="AY690" s="64"/>
      <c r="DI690" s="23">
        <v>0.17660000000000001</v>
      </c>
      <c r="DJ690" s="23">
        <v>0.20860000000000001</v>
      </c>
      <c r="DK690" s="23" t="s">
        <v>525</v>
      </c>
      <c r="EJ690" s="12"/>
      <c r="EL690" s="15"/>
      <c r="FR690" s="23" t="s">
        <v>809</v>
      </c>
      <c r="FT690" s="23">
        <v>30</v>
      </c>
    </row>
    <row r="691" spans="1:176" s="23" customFormat="1" x14ac:dyDescent="0.25">
      <c r="A691" s="23">
        <v>30</v>
      </c>
      <c r="B691" s="23" t="s">
        <v>518</v>
      </c>
      <c r="C691" s="23" t="s">
        <v>519</v>
      </c>
      <c r="D691" s="23">
        <v>2002</v>
      </c>
      <c r="E691" s="23">
        <v>2000</v>
      </c>
      <c r="F691" s="23" t="s">
        <v>520</v>
      </c>
      <c r="G691" s="23" t="s">
        <v>521</v>
      </c>
      <c r="H691" s="23">
        <f t="shared" si="197"/>
        <v>38.533333333333331</v>
      </c>
      <c r="I691" s="23">
        <f t="shared" si="198"/>
        <v>-121.78333333333333</v>
      </c>
      <c r="J691" s="23">
        <v>18.399999999999999</v>
      </c>
      <c r="N691" s="23">
        <v>483</v>
      </c>
      <c r="P691" s="53">
        <v>4</v>
      </c>
      <c r="Q691" s="53"/>
      <c r="R691" s="53">
        <v>36587</v>
      </c>
      <c r="S691" s="53" t="s">
        <v>1574</v>
      </c>
      <c r="T691" s="53" t="s">
        <v>1571</v>
      </c>
      <c r="U691" s="53" t="s">
        <v>1593</v>
      </c>
      <c r="V691" s="53" t="s">
        <v>1913</v>
      </c>
      <c r="X691" s="23">
        <v>36</v>
      </c>
      <c r="Y691" s="23">
        <v>46</v>
      </c>
      <c r="Z691" s="23" t="s">
        <v>167</v>
      </c>
      <c r="AD691" s="23" t="s">
        <v>1491</v>
      </c>
      <c r="AE691" s="23" t="s">
        <v>1713</v>
      </c>
      <c r="AF691" s="152" t="s">
        <v>666</v>
      </c>
      <c r="AG691" s="23" t="s">
        <v>1768</v>
      </c>
      <c r="AH691" s="155" t="s">
        <v>1793</v>
      </c>
      <c r="AI691" s="23" t="s">
        <v>522</v>
      </c>
      <c r="AJ691" s="23" t="s">
        <v>522</v>
      </c>
      <c r="AK691" s="23" t="s">
        <v>212</v>
      </c>
      <c r="AO691" s="23" t="s">
        <v>418</v>
      </c>
      <c r="AP691" s="23" t="s">
        <v>524</v>
      </c>
      <c r="AQ691" s="23" t="s">
        <v>587</v>
      </c>
      <c r="AR691" s="23" t="s">
        <v>147</v>
      </c>
      <c r="AS691" s="23">
        <v>4</v>
      </c>
      <c r="AT691" s="23">
        <v>4</v>
      </c>
      <c r="AU691" s="23" t="s">
        <v>379</v>
      </c>
      <c r="AY691" s="64"/>
      <c r="DI691" s="23">
        <v>0.17660000000000001</v>
      </c>
      <c r="DJ691" s="23">
        <v>0.20860000000000001</v>
      </c>
      <c r="DK691" s="23" t="s">
        <v>525</v>
      </c>
      <c r="EJ691" s="12"/>
      <c r="EL691" s="15"/>
      <c r="FR691" s="23" t="s">
        <v>809</v>
      </c>
      <c r="FT691" s="23">
        <v>30</v>
      </c>
    </row>
    <row r="692" spans="1:176" s="23" customFormat="1" x14ac:dyDescent="0.25">
      <c r="A692" s="23">
        <v>30</v>
      </c>
      <c r="B692" s="23" t="s">
        <v>518</v>
      </c>
      <c r="C692" s="23" t="s">
        <v>519</v>
      </c>
      <c r="D692" s="23">
        <v>2002</v>
      </c>
      <c r="E692" s="23">
        <v>2000</v>
      </c>
      <c r="F692" s="23" t="s">
        <v>520</v>
      </c>
      <c r="G692" s="23" t="s">
        <v>521</v>
      </c>
      <c r="H692" s="23">
        <f t="shared" si="197"/>
        <v>38.533333333333331</v>
      </c>
      <c r="I692" s="23">
        <f t="shared" si="198"/>
        <v>-121.78333333333333</v>
      </c>
      <c r="J692" s="23">
        <v>18.399999999999999</v>
      </c>
      <c r="N692" s="23">
        <v>483</v>
      </c>
      <c r="P692" s="53">
        <v>4</v>
      </c>
      <c r="Q692" s="53"/>
      <c r="R692" s="53">
        <v>36598</v>
      </c>
      <c r="S692" s="53" t="s">
        <v>1574</v>
      </c>
      <c r="T692" s="53" t="s">
        <v>1571</v>
      </c>
      <c r="U692" s="53" t="s">
        <v>1593</v>
      </c>
      <c r="V692" s="53" t="s">
        <v>1913</v>
      </c>
      <c r="X692" s="23">
        <v>36</v>
      </c>
      <c r="Y692" s="23">
        <v>46</v>
      </c>
      <c r="Z692" s="23" t="s">
        <v>167</v>
      </c>
      <c r="AD692" s="23" t="s">
        <v>1491</v>
      </c>
      <c r="AE692" s="23" t="s">
        <v>1713</v>
      </c>
      <c r="AF692" s="152" t="s">
        <v>666</v>
      </c>
      <c r="AG692" s="23" t="s">
        <v>1768</v>
      </c>
      <c r="AH692" s="155" t="s">
        <v>1793</v>
      </c>
      <c r="AI692" s="23" t="s">
        <v>522</v>
      </c>
      <c r="AJ692" s="23" t="s">
        <v>522</v>
      </c>
      <c r="AK692" s="23" t="s">
        <v>212</v>
      </c>
      <c r="AO692" s="23" t="s">
        <v>418</v>
      </c>
      <c r="AP692" s="23" t="s">
        <v>523</v>
      </c>
      <c r="AQ692" s="23" t="s">
        <v>587</v>
      </c>
      <c r="AR692" s="23" t="s">
        <v>147</v>
      </c>
      <c r="AS692" s="23">
        <v>4</v>
      </c>
      <c r="AT692" s="23">
        <v>4</v>
      </c>
      <c r="AU692" s="23" t="s">
        <v>379</v>
      </c>
      <c r="AY692" s="64"/>
      <c r="DI692" s="23">
        <v>0.1757</v>
      </c>
      <c r="DJ692" s="23">
        <v>0.21790000000000001</v>
      </c>
      <c r="DK692" s="23" t="s">
        <v>525</v>
      </c>
      <c r="EJ692" s="12"/>
      <c r="EL692" s="15"/>
      <c r="FR692" s="23" t="s">
        <v>809</v>
      </c>
      <c r="FT692" s="23">
        <v>30</v>
      </c>
    </row>
    <row r="693" spans="1:176" s="23" customFormat="1" x14ac:dyDescent="0.25">
      <c r="A693" s="23">
        <v>30</v>
      </c>
      <c r="B693" s="23" t="s">
        <v>518</v>
      </c>
      <c r="C693" s="23" t="s">
        <v>519</v>
      </c>
      <c r="D693" s="23">
        <v>2002</v>
      </c>
      <c r="E693" s="23">
        <v>2000</v>
      </c>
      <c r="F693" s="23" t="s">
        <v>520</v>
      </c>
      <c r="G693" s="23" t="s">
        <v>521</v>
      </c>
      <c r="H693" s="23">
        <f t="shared" si="197"/>
        <v>38.533333333333331</v>
      </c>
      <c r="I693" s="23">
        <f t="shared" si="198"/>
        <v>-121.78333333333333</v>
      </c>
      <c r="J693" s="23">
        <v>18.399999999999999</v>
      </c>
      <c r="N693" s="23">
        <v>483</v>
      </c>
      <c r="P693" s="53">
        <v>4</v>
      </c>
      <c r="Q693" s="53"/>
      <c r="R693" s="53">
        <v>36598</v>
      </c>
      <c r="S693" s="53" t="s">
        <v>1574</v>
      </c>
      <c r="T693" s="53" t="s">
        <v>1571</v>
      </c>
      <c r="U693" s="53" t="s">
        <v>1593</v>
      </c>
      <c r="V693" s="53" t="s">
        <v>1913</v>
      </c>
      <c r="X693" s="23">
        <v>36</v>
      </c>
      <c r="Y693" s="23">
        <v>46</v>
      </c>
      <c r="Z693" s="23" t="s">
        <v>167</v>
      </c>
      <c r="AD693" s="23" t="s">
        <v>1491</v>
      </c>
      <c r="AE693" s="23" t="s">
        <v>1713</v>
      </c>
      <c r="AF693" s="152" t="s">
        <v>666</v>
      </c>
      <c r="AG693" s="23" t="s">
        <v>1768</v>
      </c>
      <c r="AH693" s="155" t="s">
        <v>1793</v>
      </c>
      <c r="AI693" s="23" t="s">
        <v>522</v>
      </c>
      <c r="AJ693" s="23" t="s">
        <v>522</v>
      </c>
      <c r="AK693" s="23" t="s">
        <v>212</v>
      </c>
      <c r="AO693" s="23" t="s">
        <v>418</v>
      </c>
      <c r="AP693" s="23" t="s">
        <v>524</v>
      </c>
      <c r="AQ693" s="23" t="s">
        <v>587</v>
      </c>
      <c r="AR693" s="23" t="s">
        <v>147</v>
      </c>
      <c r="AS693" s="23">
        <v>4</v>
      </c>
      <c r="AT693" s="23">
        <v>4</v>
      </c>
      <c r="AU693" s="23" t="s">
        <v>379</v>
      </c>
      <c r="AY693" s="64"/>
      <c r="DI693" s="23">
        <v>0.1757</v>
      </c>
      <c r="DJ693" s="23">
        <v>0.21060000000000001</v>
      </c>
      <c r="DK693" s="23" t="s">
        <v>525</v>
      </c>
      <c r="EJ693" s="12"/>
      <c r="EL693" s="15"/>
      <c r="FR693" s="23" t="s">
        <v>809</v>
      </c>
      <c r="FT693" s="23">
        <v>30</v>
      </c>
    </row>
    <row r="694" spans="1:176" s="26" customFormat="1" x14ac:dyDescent="0.25">
      <c r="A694" s="26">
        <v>31</v>
      </c>
      <c r="B694" s="26" t="s">
        <v>528</v>
      </c>
      <c r="C694" s="26" t="s">
        <v>529</v>
      </c>
      <c r="D694" s="26">
        <v>1999</v>
      </c>
      <c r="E694" s="26">
        <v>1997</v>
      </c>
      <c r="F694" s="26" t="s">
        <v>530</v>
      </c>
      <c r="G694" s="26" t="s">
        <v>359</v>
      </c>
      <c r="H694" s="26">
        <v>40.716666666666669</v>
      </c>
      <c r="I694" s="26">
        <v>-77.916666666666671</v>
      </c>
      <c r="J694" s="26">
        <v>350</v>
      </c>
      <c r="N694" s="26">
        <v>975</v>
      </c>
      <c r="P694" s="52">
        <v>1</v>
      </c>
      <c r="Q694" s="52"/>
      <c r="R694" s="52" t="s">
        <v>533</v>
      </c>
      <c r="S694" s="52" t="s">
        <v>1553</v>
      </c>
      <c r="T694" s="52" t="s">
        <v>1553</v>
      </c>
      <c r="U694" s="52" t="s">
        <v>1553</v>
      </c>
      <c r="V694" s="52" t="s">
        <v>1553</v>
      </c>
      <c r="Z694" s="26" t="s">
        <v>531</v>
      </c>
      <c r="AA694" s="26">
        <v>6.38</v>
      </c>
      <c r="AE694" s="26" t="s">
        <v>1707</v>
      </c>
      <c r="AF694" s="152" t="s">
        <v>1761</v>
      </c>
      <c r="AG694" s="26" t="s">
        <v>160</v>
      </c>
      <c r="AH694" s="154" t="s">
        <v>160</v>
      </c>
      <c r="AL694" s="26" t="s">
        <v>337</v>
      </c>
      <c r="AM694" s="26" t="s">
        <v>337</v>
      </c>
      <c r="AN694" s="26" t="s">
        <v>212</v>
      </c>
      <c r="AO694" s="26" t="s">
        <v>538</v>
      </c>
      <c r="AP694" s="26" t="s">
        <v>538</v>
      </c>
      <c r="AR694" s="26" t="s">
        <v>147</v>
      </c>
      <c r="AS694" s="26">
        <v>5</v>
      </c>
      <c r="AT694" s="26">
        <v>5</v>
      </c>
      <c r="AU694" s="26" t="s">
        <v>169</v>
      </c>
      <c r="AY694" s="63" t="s">
        <v>337</v>
      </c>
      <c r="AZ694" s="26" t="s">
        <v>537</v>
      </c>
      <c r="BA694" s="26">
        <v>0.44500000000000001</v>
      </c>
      <c r="BB694" s="26">
        <v>0.36470000000000002</v>
      </c>
      <c r="BC694" s="26" t="s">
        <v>961</v>
      </c>
      <c r="BD694" s="26">
        <f>(29.13*48545)/1000</f>
        <v>1414.1158499999999</v>
      </c>
      <c r="BE694" s="26">
        <f>(28.93*31255)/1000</f>
        <v>904.20715000000007</v>
      </c>
      <c r="CH694" s="26">
        <v>131.69999999999999</v>
      </c>
      <c r="CI694" s="26">
        <v>244.89</v>
      </c>
      <c r="ED694" s="26">
        <v>3.54</v>
      </c>
      <c r="EE694" s="26">
        <v>18.39</v>
      </c>
      <c r="EF694" s="26" t="s">
        <v>536</v>
      </c>
      <c r="FR694" s="26" t="s">
        <v>545</v>
      </c>
      <c r="FS694" s="26" t="s">
        <v>536</v>
      </c>
      <c r="FT694" s="26">
        <v>31</v>
      </c>
    </row>
    <row r="695" spans="1:176" s="26" customFormat="1" x14ac:dyDescent="0.25">
      <c r="A695" s="26">
        <v>31</v>
      </c>
      <c r="B695" s="26" t="s">
        <v>528</v>
      </c>
      <c r="C695" s="26" t="s">
        <v>529</v>
      </c>
      <c r="D695" s="26">
        <v>1999</v>
      </c>
      <c r="E695" s="26">
        <v>1997</v>
      </c>
      <c r="F695" s="26" t="s">
        <v>530</v>
      </c>
      <c r="G695" s="26" t="s">
        <v>359</v>
      </c>
      <c r="H695" s="26">
        <v>40.716666666666669</v>
      </c>
      <c r="I695" s="26">
        <v>-77.916666666666671</v>
      </c>
      <c r="J695" s="26">
        <v>350</v>
      </c>
      <c r="N695" s="26">
        <v>975</v>
      </c>
      <c r="P695" s="52">
        <v>1</v>
      </c>
      <c r="Q695" s="52"/>
      <c r="R695" s="52" t="s">
        <v>533</v>
      </c>
      <c r="S695" s="52" t="s">
        <v>1553</v>
      </c>
      <c r="T695" s="52" t="s">
        <v>1553</v>
      </c>
      <c r="U695" s="52" t="s">
        <v>1553</v>
      </c>
      <c r="V695" s="52" t="s">
        <v>1553</v>
      </c>
      <c r="Z695" s="26" t="s">
        <v>531</v>
      </c>
      <c r="AA695" s="26">
        <v>6.38</v>
      </c>
      <c r="AE695" s="26" t="s">
        <v>532</v>
      </c>
      <c r="AF695" s="152" t="s">
        <v>1764</v>
      </c>
      <c r="AG695" s="26" t="s">
        <v>160</v>
      </c>
      <c r="AH695" s="154" t="s">
        <v>160</v>
      </c>
      <c r="AL695" s="26" t="s">
        <v>337</v>
      </c>
      <c r="AM695" s="26" t="s">
        <v>337</v>
      </c>
      <c r="AN695" s="26" t="s">
        <v>212</v>
      </c>
      <c r="AO695" s="26" t="s">
        <v>538</v>
      </c>
      <c r="AP695" s="26" t="s">
        <v>538</v>
      </c>
      <c r="AR695" s="26" t="s">
        <v>147</v>
      </c>
      <c r="AS695" s="26">
        <v>5</v>
      </c>
      <c r="AT695" s="26">
        <v>5</v>
      </c>
      <c r="AU695" s="26" t="s">
        <v>169</v>
      </c>
      <c r="AY695" s="63" t="s">
        <v>337</v>
      </c>
      <c r="AZ695" s="26" t="s">
        <v>537</v>
      </c>
      <c r="BA695" s="26">
        <v>0.44500000000000001</v>
      </c>
      <c r="BB695" s="26">
        <v>0.48680000000000001</v>
      </c>
      <c r="BC695" s="26" t="s">
        <v>961</v>
      </c>
      <c r="BD695" s="26">
        <f>(29.13*48545)/1000</f>
        <v>1414.1158499999999</v>
      </c>
      <c r="BE695" s="26">
        <f>(35.33*45885)/1000</f>
        <v>1621.1170499999998</v>
      </c>
      <c r="CH695" s="26">
        <v>131.69999999999999</v>
      </c>
      <c r="CI695" s="26">
        <v>271.95999999999998</v>
      </c>
      <c r="ED695" s="26">
        <v>3.54</v>
      </c>
      <c r="EE695" s="26">
        <v>16.77</v>
      </c>
      <c r="EF695" s="26" t="s">
        <v>536</v>
      </c>
      <c r="FR695" s="26" t="s">
        <v>545</v>
      </c>
      <c r="FS695" s="26" t="s">
        <v>536</v>
      </c>
      <c r="FT695" s="26">
        <v>31</v>
      </c>
    </row>
    <row r="696" spans="1:176" s="26" customFormat="1" x14ac:dyDescent="0.25">
      <c r="A696" s="26">
        <v>31</v>
      </c>
      <c r="B696" s="26" t="s">
        <v>528</v>
      </c>
      <c r="C696" s="26" t="s">
        <v>529</v>
      </c>
      <c r="D696" s="26">
        <v>1999</v>
      </c>
      <c r="E696" s="26">
        <v>1997</v>
      </c>
      <c r="F696" s="26" t="s">
        <v>530</v>
      </c>
      <c r="G696" s="26" t="s">
        <v>359</v>
      </c>
      <c r="H696" s="26">
        <v>40.716666666666669</v>
      </c>
      <c r="I696" s="26">
        <v>-77.916666666666671</v>
      </c>
      <c r="J696" s="26">
        <v>350</v>
      </c>
      <c r="N696" s="26">
        <v>975</v>
      </c>
      <c r="P696" s="52">
        <v>1</v>
      </c>
      <c r="Q696" s="52"/>
      <c r="R696" s="52" t="s">
        <v>534</v>
      </c>
      <c r="S696" s="52" t="s">
        <v>1553</v>
      </c>
      <c r="T696" s="52" t="s">
        <v>1553</v>
      </c>
      <c r="U696" s="52" t="s">
        <v>1553</v>
      </c>
      <c r="V696" s="52" t="s">
        <v>1553</v>
      </c>
      <c r="Z696" s="26" t="s">
        <v>531</v>
      </c>
      <c r="AA696" s="26">
        <v>6.38</v>
      </c>
      <c r="AE696" s="26" t="s">
        <v>1707</v>
      </c>
      <c r="AF696" s="152" t="s">
        <v>1761</v>
      </c>
      <c r="AG696" s="26" t="s">
        <v>160</v>
      </c>
      <c r="AH696" s="154" t="s">
        <v>160</v>
      </c>
      <c r="AL696" s="26" t="s">
        <v>337</v>
      </c>
      <c r="AM696" s="26" t="s">
        <v>337</v>
      </c>
      <c r="AN696" s="26" t="s">
        <v>212</v>
      </c>
      <c r="AO696" s="26" t="s">
        <v>538</v>
      </c>
      <c r="AP696" s="26" t="s">
        <v>538</v>
      </c>
      <c r="AR696" s="26" t="s">
        <v>147</v>
      </c>
      <c r="AS696" s="26">
        <v>5</v>
      </c>
      <c r="AT696" s="26">
        <v>5</v>
      </c>
      <c r="AU696" s="26" t="s">
        <v>169</v>
      </c>
      <c r="AY696" s="63" t="s">
        <v>337</v>
      </c>
      <c r="AZ696" s="26" t="s">
        <v>537</v>
      </c>
      <c r="BA696" s="26">
        <v>2.3849999999999998</v>
      </c>
      <c r="BB696" s="26">
        <v>2.7770000000000001</v>
      </c>
      <c r="BC696" s="26" t="s">
        <v>961</v>
      </c>
      <c r="ED696" s="26">
        <v>16.531400000000001</v>
      </c>
      <c r="EE696" s="26">
        <v>26.787500000000001</v>
      </c>
      <c r="EF696" s="26" t="s">
        <v>536</v>
      </c>
      <c r="FR696" s="26" t="s">
        <v>545</v>
      </c>
      <c r="FS696" s="26" t="s">
        <v>536</v>
      </c>
      <c r="FT696" s="26">
        <v>31</v>
      </c>
    </row>
    <row r="697" spans="1:176" s="26" customFormat="1" x14ac:dyDescent="0.25">
      <c r="A697" s="26">
        <v>31</v>
      </c>
      <c r="B697" s="26" t="s">
        <v>528</v>
      </c>
      <c r="C697" s="26" t="s">
        <v>529</v>
      </c>
      <c r="D697" s="26">
        <v>1999</v>
      </c>
      <c r="E697" s="26">
        <v>1997</v>
      </c>
      <c r="F697" s="26" t="s">
        <v>530</v>
      </c>
      <c r="G697" s="26" t="s">
        <v>359</v>
      </c>
      <c r="H697" s="26">
        <v>40.716666666666669</v>
      </c>
      <c r="I697" s="26">
        <v>-77.916666666666671</v>
      </c>
      <c r="J697" s="26">
        <v>350</v>
      </c>
      <c r="N697" s="26">
        <v>975</v>
      </c>
      <c r="P697" s="52">
        <v>1</v>
      </c>
      <c r="Q697" s="52"/>
      <c r="R697" s="52" t="s">
        <v>534</v>
      </c>
      <c r="S697" s="52" t="s">
        <v>1553</v>
      </c>
      <c r="T697" s="52" t="s">
        <v>1553</v>
      </c>
      <c r="U697" s="52" t="s">
        <v>1553</v>
      </c>
      <c r="V697" s="52" t="s">
        <v>1553</v>
      </c>
      <c r="Z697" s="26" t="s">
        <v>531</v>
      </c>
      <c r="AA697" s="26">
        <v>6.38</v>
      </c>
      <c r="AE697" s="26" t="s">
        <v>532</v>
      </c>
      <c r="AF697" s="152" t="s">
        <v>1764</v>
      </c>
      <c r="AG697" s="26" t="s">
        <v>160</v>
      </c>
      <c r="AH697" s="154" t="s">
        <v>160</v>
      </c>
      <c r="AL697" s="26" t="s">
        <v>337</v>
      </c>
      <c r="AM697" s="26" t="s">
        <v>337</v>
      </c>
      <c r="AN697" s="26" t="s">
        <v>212</v>
      </c>
      <c r="AO697" s="26" t="s">
        <v>538</v>
      </c>
      <c r="AP697" s="26" t="s">
        <v>538</v>
      </c>
      <c r="AR697" s="26" t="s">
        <v>147</v>
      </c>
      <c r="AS697" s="26">
        <v>5</v>
      </c>
      <c r="AT697" s="26">
        <v>5</v>
      </c>
      <c r="AU697" s="26" t="s">
        <v>169</v>
      </c>
      <c r="AY697" s="63" t="s">
        <v>337</v>
      </c>
      <c r="AZ697" s="26" t="s">
        <v>537</v>
      </c>
      <c r="BA697" s="26">
        <v>2.3849999999999998</v>
      </c>
      <c r="BB697" s="26">
        <v>3.3530000000000002</v>
      </c>
      <c r="BC697" s="26" t="s">
        <v>961</v>
      </c>
      <c r="ED697" s="26">
        <v>16.531400000000001</v>
      </c>
      <c r="EE697" s="26">
        <v>39.47</v>
      </c>
      <c r="EF697" s="26" t="s">
        <v>536</v>
      </c>
      <c r="FR697" s="26" t="s">
        <v>545</v>
      </c>
      <c r="FS697" s="26" t="s">
        <v>536</v>
      </c>
      <c r="FT697" s="26">
        <v>31</v>
      </c>
    </row>
    <row r="698" spans="1:176" s="26" customFormat="1" x14ac:dyDescent="0.25">
      <c r="A698" s="26">
        <v>31</v>
      </c>
      <c r="B698" s="26" t="s">
        <v>528</v>
      </c>
      <c r="C698" s="26" t="s">
        <v>529</v>
      </c>
      <c r="D698" s="26">
        <v>1999</v>
      </c>
      <c r="E698" s="26">
        <v>1997</v>
      </c>
      <c r="F698" s="26" t="s">
        <v>530</v>
      </c>
      <c r="G698" s="26" t="s">
        <v>359</v>
      </c>
      <c r="H698" s="26">
        <v>40.716666666666669</v>
      </c>
      <c r="I698" s="26">
        <v>-77.916666666666671</v>
      </c>
      <c r="J698" s="26">
        <v>350</v>
      </c>
      <c r="N698" s="26">
        <v>975</v>
      </c>
      <c r="P698" s="52">
        <v>1</v>
      </c>
      <c r="Q698" s="52"/>
      <c r="R698" s="52" t="s">
        <v>535</v>
      </c>
      <c r="S698" s="52" t="s">
        <v>1553</v>
      </c>
      <c r="T698" s="52" t="s">
        <v>1553</v>
      </c>
      <c r="U698" s="52" t="s">
        <v>1553</v>
      </c>
      <c r="V698" s="52" t="s">
        <v>1553</v>
      </c>
      <c r="Z698" s="26" t="s">
        <v>531</v>
      </c>
      <c r="AA698" s="26">
        <v>6.38</v>
      </c>
      <c r="AE698" s="26" t="s">
        <v>1707</v>
      </c>
      <c r="AF698" s="152" t="s">
        <v>1761</v>
      </c>
      <c r="AG698" s="26" t="s">
        <v>160</v>
      </c>
      <c r="AH698" s="154" t="s">
        <v>160</v>
      </c>
      <c r="AL698" s="26" t="s">
        <v>337</v>
      </c>
      <c r="AM698" s="26" t="s">
        <v>337</v>
      </c>
      <c r="AN698" s="26" t="s">
        <v>212</v>
      </c>
      <c r="AO698" s="26" t="s">
        <v>538</v>
      </c>
      <c r="AP698" s="26" t="s">
        <v>538</v>
      </c>
      <c r="AR698" s="26" t="s">
        <v>147</v>
      </c>
      <c r="AS698" s="26">
        <v>5</v>
      </c>
      <c r="AT698" s="26">
        <v>5</v>
      </c>
      <c r="AU698" s="26" t="s">
        <v>169</v>
      </c>
      <c r="AY698" s="63" t="s">
        <v>337</v>
      </c>
      <c r="ED698" s="26">
        <v>45.444699999999997</v>
      </c>
      <c r="EE698" s="26">
        <v>61.37</v>
      </c>
      <c r="EF698" s="26" t="s">
        <v>536</v>
      </c>
      <c r="FR698" s="26" t="s">
        <v>545</v>
      </c>
      <c r="FS698" s="26" t="s">
        <v>536</v>
      </c>
      <c r="FT698" s="26">
        <v>31</v>
      </c>
    </row>
    <row r="699" spans="1:176" s="26" customFormat="1" x14ac:dyDescent="0.25">
      <c r="A699" s="26">
        <v>31</v>
      </c>
      <c r="B699" s="26" t="s">
        <v>528</v>
      </c>
      <c r="C699" s="26" t="s">
        <v>529</v>
      </c>
      <c r="D699" s="26">
        <v>1999</v>
      </c>
      <c r="E699" s="26">
        <v>1997</v>
      </c>
      <c r="F699" s="26" t="s">
        <v>530</v>
      </c>
      <c r="G699" s="26" t="s">
        <v>359</v>
      </c>
      <c r="H699" s="26">
        <v>40.716666666666669</v>
      </c>
      <c r="I699" s="26">
        <v>-77.916666666666671</v>
      </c>
      <c r="J699" s="26">
        <v>350</v>
      </c>
      <c r="N699" s="26">
        <v>975</v>
      </c>
      <c r="P699" s="52">
        <v>1</v>
      </c>
      <c r="Q699" s="52"/>
      <c r="R699" s="52" t="s">
        <v>535</v>
      </c>
      <c r="S699" s="52" t="s">
        <v>1553</v>
      </c>
      <c r="T699" s="52" t="s">
        <v>1553</v>
      </c>
      <c r="U699" s="52" t="s">
        <v>1553</v>
      </c>
      <c r="V699" s="52" t="s">
        <v>1553</v>
      </c>
      <c r="Z699" s="26" t="s">
        <v>531</v>
      </c>
      <c r="AA699" s="26">
        <v>6.38</v>
      </c>
      <c r="AE699" s="26" t="s">
        <v>532</v>
      </c>
      <c r="AF699" s="152" t="s">
        <v>1764</v>
      </c>
      <c r="AG699" s="26" t="s">
        <v>160</v>
      </c>
      <c r="AH699" s="154" t="s">
        <v>160</v>
      </c>
      <c r="AL699" s="26" t="s">
        <v>337</v>
      </c>
      <c r="AM699" s="26" t="s">
        <v>337</v>
      </c>
      <c r="AN699" s="26" t="s">
        <v>212</v>
      </c>
      <c r="AO699" s="26" t="s">
        <v>538</v>
      </c>
      <c r="AP699" s="26" t="s">
        <v>538</v>
      </c>
      <c r="AR699" s="26" t="s">
        <v>147</v>
      </c>
      <c r="AS699" s="26">
        <v>5</v>
      </c>
      <c r="AT699" s="26">
        <v>5</v>
      </c>
      <c r="AU699" s="26" t="s">
        <v>169</v>
      </c>
      <c r="AY699" s="63" t="s">
        <v>337</v>
      </c>
      <c r="ED699" s="26">
        <v>45.444699999999997</v>
      </c>
      <c r="EE699" s="26">
        <v>82.69</v>
      </c>
      <c r="EF699" s="26" t="s">
        <v>536</v>
      </c>
      <c r="FR699" s="26" t="s">
        <v>545</v>
      </c>
      <c r="FS699" s="26" t="s">
        <v>536</v>
      </c>
      <c r="FT699" s="26">
        <v>31</v>
      </c>
    </row>
    <row r="700" spans="1:176" s="38" customFormat="1" x14ac:dyDescent="0.25">
      <c r="A700" s="38">
        <v>32</v>
      </c>
      <c r="B700" s="38" t="s">
        <v>539</v>
      </c>
      <c r="C700" s="38" t="s">
        <v>540</v>
      </c>
      <c r="D700" s="38">
        <v>2007</v>
      </c>
      <c r="E700" s="38">
        <v>2001</v>
      </c>
      <c r="F700" s="38" t="s">
        <v>498</v>
      </c>
      <c r="G700" s="38" t="s">
        <v>541</v>
      </c>
      <c r="H700" s="38">
        <f t="shared" ref="H700:H709" si="199">42.05</f>
        <v>42.05</v>
      </c>
      <c r="I700" s="38">
        <f t="shared" ref="I700:I709" si="200">-93.71</f>
        <v>-93.71</v>
      </c>
      <c r="J700" s="38">
        <v>307.8</v>
      </c>
      <c r="K700" s="38">
        <v>10.1</v>
      </c>
      <c r="L700" s="38">
        <v>9.1999999999999993</v>
      </c>
      <c r="M700" s="38">
        <v>807</v>
      </c>
      <c r="N700" s="38">
        <v>837</v>
      </c>
      <c r="P700" s="57">
        <v>1</v>
      </c>
      <c r="Q700" s="57"/>
      <c r="R700" s="57"/>
      <c r="S700" s="57" t="s">
        <v>1575</v>
      </c>
      <c r="T700" s="57" t="s">
        <v>1575</v>
      </c>
      <c r="U700" s="57" t="s">
        <v>1593</v>
      </c>
      <c r="V700" s="57" t="s">
        <v>1914</v>
      </c>
      <c r="W700" s="38">
        <v>1.25</v>
      </c>
      <c r="Z700" s="38" t="s">
        <v>167</v>
      </c>
      <c r="AD700" s="38" t="s">
        <v>1492</v>
      </c>
      <c r="AE700" s="38" t="s">
        <v>544</v>
      </c>
      <c r="AF700" s="152" t="s">
        <v>1761</v>
      </c>
      <c r="AG700" s="38" t="s">
        <v>190</v>
      </c>
      <c r="AH700" s="155" t="s">
        <v>1791</v>
      </c>
      <c r="AI700" s="38" t="s">
        <v>542</v>
      </c>
      <c r="AJ700" s="38" t="s">
        <v>542</v>
      </c>
      <c r="AK700" s="38" t="s">
        <v>212</v>
      </c>
      <c r="AL700" s="38" t="s">
        <v>543</v>
      </c>
      <c r="AM700" s="38" t="s">
        <v>543</v>
      </c>
      <c r="AN700" s="38" t="s">
        <v>212</v>
      </c>
      <c r="AR700" s="38" t="s">
        <v>147</v>
      </c>
      <c r="AS700" s="38">
        <v>4</v>
      </c>
      <c r="AT700" s="38">
        <v>4</v>
      </c>
      <c r="AU700" s="38" t="s">
        <v>169</v>
      </c>
      <c r="AY700" s="64"/>
      <c r="BM700" s="38">
        <f>27.6*0.067</f>
        <v>1.8492000000000002</v>
      </c>
      <c r="BN700" s="38">
        <f>27.8*0.067</f>
        <v>1.8626000000000003</v>
      </c>
      <c r="BO700" s="38" t="s">
        <v>546</v>
      </c>
      <c r="EJ700" s="12"/>
      <c r="EL700" s="15"/>
      <c r="FT700" s="38">
        <v>32</v>
      </c>
    </row>
    <row r="701" spans="1:176" s="38" customFormat="1" x14ac:dyDescent="0.25">
      <c r="A701" s="38">
        <v>32</v>
      </c>
      <c r="B701" s="38" t="s">
        <v>539</v>
      </c>
      <c r="C701" s="38" t="s">
        <v>540</v>
      </c>
      <c r="D701" s="38">
        <v>2007</v>
      </c>
      <c r="E701" s="38">
        <v>2001</v>
      </c>
      <c r="F701" s="38" t="s">
        <v>498</v>
      </c>
      <c r="G701" s="38" t="s">
        <v>541</v>
      </c>
      <c r="H701" s="38">
        <f t="shared" si="199"/>
        <v>42.05</v>
      </c>
      <c r="I701" s="38">
        <f t="shared" si="200"/>
        <v>-93.71</v>
      </c>
      <c r="J701" s="38">
        <v>307.8</v>
      </c>
      <c r="K701" s="38">
        <v>10.1</v>
      </c>
      <c r="L701" s="38">
        <v>9.1999999999999993</v>
      </c>
      <c r="M701" s="38">
        <v>807</v>
      </c>
      <c r="N701" s="38">
        <v>837</v>
      </c>
      <c r="P701" s="57">
        <v>1</v>
      </c>
      <c r="Q701" s="57"/>
      <c r="R701" s="57"/>
      <c r="S701" s="57" t="s">
        <v>1575</v>
      </c>
      <c r="T701" s="57" t="s">
        <v>1575</v>
      </c>
      <c r="U701" s="57" t="s">
        <v>1593</v>
      </c>
      <c r="V701" s="57" t="s">
        <v>1914</v>
      </c>
      <c r="W701" s="38">
        <v>1.25</v>
      </c>
      <c r="Z701" s="38" t="s">
        <v>167</v>
      </c>
      <c r="AD701" s="38" t="s">
        <v>1492</v>
      </c>
      <c r="AE701" s="38" t="s">
        <v>159</v>
      </c>
      <c r="AF701" s="152" t="s">
        <v>159</v>
      </c>
      <c r="AG701" s="38" t="s">
        <v>160</v>
      </c>
      <c r="AH701" s="155" t="s">
        <v>1791</v>
      </c>
      <c r="AI701" s="38" t="s">
        <v>542</v>
      </c>
      <c r="AJ701" s="38" t="s">
        <v>542</v>
      </c>
      <c r="AK701" s="38" t="s">
        <v>212</v>
      </c>
      <c r="AL701" s="38" t="s">
        <v>543</v>
      </c>
      <c r="AM701" s="38" t="s">
        <v>543</v>
      </c>
      <c r="AN701" s="38" t="s">
        <v>212</v>
      </c>
      <c r="AR701" s="38" t="s">
        <v>147</v>
      </c>
      <c r="AS701" s="38">
        <v>4</v>
      </c>
      <c r="AT701" s="38">
        <v>4</v>
      </c>
      <c r="AU701" s="38" t="s">
        <v>169</v>
      </c>
      <c r="AY701" s="64"/>
      <c r="BM701" s="38">
        <f>27.6*0.067</f>
        <v>1.8492000000000002</v>
      </c>
      <c r="BN701" s="38">
        <f>13.7*0.067</f>
        <v>0.91790000000000005</v>
      </c>
      <c r="BO701" s="38" t="s">
        <v>546</v>
      </c>
      <c r="EJ701" s="12"/>
      <c r="EL701" s="15"/>
      <c r="FT701" s="38">
        <v>32</v>
      </c>
    </row>
    <row r="702" spans="1:176" s="38" customFormat="1" x14ac:dyDescent="0.25">
      <c r="A702" s="38">
        <v>32</v>
      </c>
      <c r="B702" s="38" t="s">
        <v>539</v>
      </c>
      <c r="C702" s="38" t="s">
        <v>540</v>
      </c>
      <c r="D702" s="38">
        <v>2007</v>
      </c>
      <c r="E702" s="38">
        <v>2002</v>
      </c>
      <c r="F702" s="38" t="s">
        <v>498</v>
      </c>
      <c r="G702" s="38" t="s">
        <v>541</v>
      </c>
      <c r="H702" s="38">
        <f t="shared" si="199"/>
        <v>42.05</v>
      </c>
      <c r="I702" s="38">
        <f t="shared" si="200"/>
        <v>-93.71</v>
      </c>
      <c r="J702" s="38">
        <v>307.8</v>
      </c>
      <c r="K702" s="38">
        <v>10.199999999999999</v>
      </c>
      <c r="L702" s="38">
        <v>9.1999999999999993</v>
      </c>
      <c r="M702" s="38">
        <v>831</v>
      </c>
      <c r="N702" s="38">
        <v>837</v>
      </c>
      <c r="P702" s="57">
        <v>2</v>
      </c>
      <c r="Q702" s="57"/>
      <c r="R702" s="57"/>
      <c r="S702" s="57" t="s">
        <v>1575</v>
      </c>
      <c r="T702" s="57" t="s">
        <v>1575</v>
      </c>
      <c r="U702" s="57" t="s">
        <v>1593</v>
      </c>
      <c r="V702" s="57" t="s">
        <v>1914</v>
      </c>
      <c r="W702" s="38">
        <v>1.25</v>
      </c>
      <c r="Z702" s="38" t="s">
        <v>167</v>
      </c>
      <c r="AD702" s="38" t="s">
        <v>1492</v>
      </c>
      <c r="AE702" s="38" t="s">
        <v>544</v>
      </c>
      <c r="AF702" s="152" t="s">
        <v>1761</v>
      </c>
      <c r="AG702" s="38" t="s">
        <v>190</v>
      </c>
      <c r="AH702" s="155" t="s">
        <v>1791</v>
      </c>
      <c r="AI702" s="38" t="s">
        <v>542</v>
      </c>
      <c r="AJ702" s="38" t="s">
        <v>542</v>
      </c>
      <c r="AK702" s="38" t="s">
        <v>212</v>
      </c>
      <c r="AL702" s="38" t="s">
        <v>543</v>
      </c>
      <c r="AM702" s="38" t="s">
        <v>543</v>
      </c>
      <c r="AN702" s="38" t="s">
        <v>212</v>
      </c>
      <c r="AR702" s="38" t="s">
        <v>147</v>
      </c>
      <c r="AS702" s="38">
        <v>4</v>
      </c>
      <c r="AT702" s="38">
        <v>4</v>
      </c>
      <c r="AU702" s="38" t="s">
        <v>169</v>
      </c>
      <c r="AY702" s="64"/>
      <c r="BD702" s="38">
        <f>12.4*1000</f>
        <v>12400</v>
      </c>
      <c r="BE702" s="38">
        <f>12.1*1000</f>
        <v>12100</v>
      </c>
      <c r="BM702" s="38">
        <f>61.7*0.067</f>
        <v>4.1339000000000006</v>
      </c>
      <c r="BN702" s="38">
        <f>49.3*0.067</f>
        <v>3.3031000000000001</v>
      </c>
      <c r="BO702" s="38" t="s">
        <v>546</v>
      </c>
      <c r="DC702" s="38">
        <v>19.100000000000001</v>
      </c>
      <c r="DD702" s="38">
        <v>23.4</v>
      </c>
      <c r="DE702" s="38" t="s">
        <v>547</v>
      </c>
      <c r="EJ702" s="12"/>
      <c r="EL702" s="15"/>
      <c r="FT702" s="38">
        <v>32</v>
      </c>
    </row>
    <row r="703" spans="1:176" s="38" customFormat="1" x14ac:dyDescent="0.25">
      <c r="A703" s="38">
        <v>32</v>
      </c>
      <c r="B703" s="38" t="s">
        <v>539</v>
      </c>
      <c r="C703" s="38" t="s">
        <v>540</v>
      </c>
      <c r="D703" s="38">
        <v>2007</v>
      </c>
      <c r="E703" s="38">
        <v>2002</v>
      </c>
      <c r="F703" s="38" t="s">
        <v>498</v>
      </c>
      <c r="G703" s="38" t="s">
        <v>541</v>
      </c>
      <c r="H703" s="38">
        <f t="shared" si="199"/>
        <v>42.05</v>
      </c>
      <c r="I703" s="38">
        <f t="shared" si="200"/>
        <v>-93.71</v>
      </c>
      <c r="J703" s="38">
        <v>307.8</v>
      </c>
      <c r="K703" s="38">
        <v>10.199999999999999</v>
      </c>
      <c r="L703" s="38">
        <v>9.1999999999999993</v>
      </c>
      <c r="M703" s="38">
        <v>831</v>
      </c>
      <c r="N703" s="38">
        <v>837</v>
      </c>
      <c r="P703" s="57">
        <v>2</v>
      </c>
      <c r="Q703" s="57"/>
      <c r="R703" s="57"/>
      <c r="S703" s="57" t="s">
        <v>1575</v>
      </c>
      <c r="T703" s="57" t="s">
        <v>1575</v>
      </c>
      <c r="U703" s="57" t="s">
        <v>1593</v>
      </c>
      <c r="V703" s="57" t="s">
        <v>1914</v>
      </c>
      <c r="W703" s="38">
        <v>1.25</v>
      </c>
      <c r="Z703" s="38" t="s">
        <v>167</v>
      </c>
      <c r="AD703" s="38" t="s">
        <v>1492</v>
      </c>
      <c r="AE703" s="38" t="s">
        <v>159</v>
      </c>
      <c r="AF703" s="152" t="s">
        <v>159</v>
      </c>
      <c r="AG703" s="38" t="s">
        <v>160</v>
      </c>
      <c r="AH703" s="155" t="s">
        <v>1791</v>
      </c>
      <c r="AI703" s="38" t="s">
        <v>542</v>
      </c>
      <c r="AJ703" s="38" t="s">
        <v>542</v>
      </c>
      <c r="AK703" s="38" t="s">
        <v>212</v>
      </c>
      <c r="AL703" s="38" t="s">
        <v>543</v>
      </c>
      <c r="AM703" s="38" t="s">
        <v>543</v>
      </c>
      <c r="AN703" s="38" t="s">
        <v>212</v>
      </c>
      <c r="AR703" s="38" t="s">
        <v>147</v>
      </c>
      <c r="AS703" s="38">
        <v>4</v>
      </c>
      <c r="AT703" s="38">
        <v>4</v>
      </c>
      <c r="AU703" s="38" t="s">
        <v>169</v>
      </c>
      <c r="AW703" s="38">
        <f>2.43*1000</f>
        <v>2430</v>
      </c>
      <c r="AX703" s="38">
        <f>AW703/55.88</f>
        <v>43.486041517537579</v>
      </c>
      <c r="AY703" s="64"/>
      <c r="BD703" s="38">
        <f>12.4*1000</f>
        <v>12400</v>
      </c>
      <c r="BE703" s="38">
        <f>11.2*1000</f>
        <v>11200</v>
      </c>
      <c r="BM703" s="38">
        <f>61.7*0.067</f>
        <v>4.1339000000000006</v>
      </c>
      <c r="BN703" s="38">
        <f>26.5*0.067</f>
        <v>1.7755000000000001</v>
      </c>
      <c r="BO703" s="38" t="s">
        <v>546</v>
      </c>
      <c r="DC703" s="38">
        <v>19.100000000000001</v>
      </c>
      <c r="DD703" s="38">
        <v>5.8</v>
      </c>
      <c r="DE703" s="38" t="s">
        <v>547</v>
      </c>
      <c r="EJ703" s="12"/>
      <c r="EL703" s="15"/>
      <c r="FT703" s="38">
        <v>32</v>
      </c>
    </row>
    <row r="704" spans="1:176" s="38" customFormat="1" x14ac:dyDescent="0.25">
      <c r="A704" s="38">
        <v>32</v>
      </c>
      <c r="B704" s="38" t="s">
        <v>539</v>
      </c>
      <c r="C704" s="38" t="s">
        <v>540</v>
      </c>
      <c r="D704" s="38">
        <v>2007</v>
      </c>
      <c r="E704" s="38">
        <v>2003</v>
      </c>
      <c r="F704" s="38" t="s">
        <v>498</v>
      </c>
      <c r="G704" s="38" t="s">
        <v>541</v>
      </c>
      <c r="H704" s="38">
        <f t="shared" si="199"/>
        <v>42.05</v>
      </c>
      <c r="I704" s="38">
        <f t="shared" si="200"/>
        <v>-93.71</v>
      </c>
      <c r="J704" s="38">
        <v>307.8</v>
      </c>
      <c r="K704" s="38">
        <v>9.4</v>
      </c>
      <c r="L704" s="38">
        <v>9.1999999999999993</v>
      </c>
      <c r="M704" s="38">
        <v>891</v>
      </c>
      <c r="N704" s="38">
        <v>837</v>
      </c>
      <c r="P704" s="57">
        <v>3</v>
      </c>
      <c r="Q704" s="57"/>
      <c r="R704" s="57"/>
      <c r="S704" s="57" t="s">
        <v>1575</v>
      </c>
      <c r="T704" s="57" t="s">
        <v>1575</v>
      </c>
      <c r="U704" s="57" t="s">
        <v>1593</v>
      </c>
      <c r="V704" s="57" t="s">
        <v>1914</v>
      </c>
      <c r="W704" s="38">
        <v>1.25</v>
      </c>
      <c r="Z704" s="38" t="s">
        <v>167</v>
      </c>
      <c r="AD704" s="38" t="s">
        <v>1492</v>
      </c>
      <c r="AE704" s="38" t="s">
        <v>544</v>
      </c>
      <c r="AF704" s="152" t="s">
        <v>1761</v>
      </c>
      <c r="AG704" s="38" t="s">
        <v>190</v>
      </c>
      <c r="AH704" s="155" t="s">
        <v>1791</v>
      </c>
      <c r="AI704" s="38" t="s">
        <v>542</v>
      </c>
      <c r="AJ704" s="38" t="s">
        <v>542</v>
      </c>
      <c r="AK704" s="38" t="s">
        <v>212</v>
      </c>
      <c r="AL704" s="38" t="s">
        <v>543</v>
      </c>
      <c r="AM704" s="38" t="s">
        <v>543</v>
      </c>
      <c r="AN704" s="38" t="s">
        <v>212</v>
      </c>
      <c r="AR704" s="38" t="s">
        <v>147</v>
      </c>
      <c r="AS704" s="38">
        <v>4</v>
      </c>
      <c r="AT704" s="38">
        <v>4</v>
      </c>
      <c r="AU704" s="38" t="s">
        <v>169</v>
      </c>
      <c r="AW704" s="38">
        <f>1.46*1000</f>
        <v>1460</v>
      </c>
      <c r="AX704" s="38">
        <f>AW704/18.8</f>
        <v>77.659574468085097</v>
      </c>
      <c r="AY704" s="64"/>
      <c r="BD704" s="38">
        <f>2.7*1000</f>
        <v>2700</v>
      </c>
      <c r="BE704" s="38">
        <f>2.4*1000</f>
        <v>2400</v>
      </c>
      <c r="BM704" s="38">
        <f>52.9*0.067</f>
        <v>3.5443000000000002</v>
      </c>
      <c r="BN704" s="38">
        <f>54.6*0.067</f>
        <v>3.6582000000000003</v>
      </c>
      <c r="BO704" s="38" t="s">
        <v>546</v>
      </c>
      <c r="DC704" s="38">
        <v>24.7</v>
      </c>
      <c r="DD704" s="38">
        <v>24.8</v>
      </c>
      <c r="DE704" s="38" t="s">
        <v>547</v>
      </c>
      <c r="EJ704" s="12"/>
      <c r="EL704" s="15"/>
      <c r="FT704" s="38">
        <v>32</v>
      </c>
    </row>
    <row r="705" spans="1:176" s="38" customFormat="1" x14ac:dyDescent="0.25">
      <c r="A705" s="38">
        <v>32</v>
      </c>
      <c r="B705" s="38" t="s">
        <v>539</v>
      </c>
      <c r="C705" s="38" t="s">
        <v>540</v>
      </c>
      <c r="D705" s="38">
        <v>2007</v>
      </c>
      <c r="E705" s="38">
        <v>2003</v>
      </c>
      <c r="F705" s="38" t="s">
        <v>498</v>
      </c>
      <c r="G705" s="38" t="s">
        <v>541</v>
      </c>
      <c r="H705" s="38">
        <f t="shared" si="199"/>
        <v>42.05</v>
      </c>
      <c r="I705" s="38">
        <f t="shared" si="200"/>
        <v>-93.71</v>
      </c>
      <c r="J705" s="38">
        <v>307.8</v>
      </c>
      <c r="K705" s="38">
        <v>9.4</v>
      </c>
      <c r="L705" s="38">
        <v>9.1999999999999993</v>
      </c>
      <c r="M705" s="38">
        <v>891</v>
      </c>
      <c r="N705" s="38">
        <v>837</v>
      </c>
      <c r="P705" s="57">
        <v>3</v>
      </c>
      <c r="Q705" s="57"/>
      <c r="R705" s="57"/>
      <c r="S705" s="57" t="s">
        <v>1575</v>
      </c>
      <c r="T705" s="57" t="s">
        <v>1575</v>
      </c>
      <c r="U705" s="57" t="s">
        <v>1593</v>
      </c>
      <c r="V705" s="57" t="s">
        <v>1914</v>
      </c>
      <c r="W705" s="38">
        <v>1.25</v>
      </c>
      <c r="Z705" s="38" t="s">
        <v>167</v>
      </c>
      <c r="AD705" s="38" t="s">
        <v>1492</v>
      </c>
      <c r="AE705" s="38" t="s">
        <v>159</v>
      </c>
      <c r="AF705" s="152" t="s">
        <v>159</v>
      </c>
      <c r="AG705" s="38" t="s">
        <v>160</v>
      </c>
      <c r="AH705" s="155" t="s">
        <v>1791</v>
      </c>
      <c r="AI705" s="38" t="s">
        <v>542</v>
      </c>
      <c r="AJ705" s="38" t="s">
        <v>542</v>
      </c>
      <c r="AK705" s="38" t="s">
        <v>212</v>
      </c>
      <c r="AL705" s="38" t="s">
        <v>543</v>
      </c>
      <c r="AM705" s="38" t="s">
        <v>543</v>
      </c>
      <c r="AN705" s="38" t="s">
        <v>212</v>
      </c>
      <c r="AR705" s="38" t="s">
        <v>147</v>
      </c>
      <c r="AS705" s="38">
        <v>4</v>
      </c>
      <c r="AT705" s="38">
        <v>4</v>
      </c>
      <c r="AU705" s="38" t="s">
        <v>169</v>
      </c>
      <c r="AW705" s="38">
        <f>0.25*1000</f>
        <v>250</v>
      </c>
      <c r="AX705" s="38">
        <f>AW705/9.3</f>
        <v>26.881720430107524</v>
      </c>
      <c r="AY705" s="64"/>
      <c r="BD705" s="38">
        <f>2.7*1000</f>
        <v>2700</v>
      </c>
      <c r="BE705" s="38">
        <f>2.7*1000</f>
        <v>2700</v>
      </c>
      <c r="BM705" s="38">
        <f>52.9*0.067</f>
        <v>3.5443000000000002</v>
      </c>
      <c r="BN705" s="38">
        <f>44.2*0.067</f>
        <v>2.9614000000000003</v>
      </c>
      <c r="BO705" s="38" t="s">
        <v>546</v>
      </c>
      <c r="DC705" s="38">
        <v>24.7</v>
      </c>
      <c r="DD705" s="38">
        <v>11.8</v>
      </c>
      <c r="DE705" s="38" t="s">
        <v>547</v>
      </c>
      <c r="EJ705" s="12"/>
      <c r="EL705" s="15"/>
      <c r="FT705" s="38">
        <v>32</v>
      </c>
    </row>
    <row r="706" spans="1:176" s="38" customFormat="1" x14ac:dyDescent="0.25">
      <c r="A706" s="38">
        <v>32</v>
      </c>
      <c r="B706" s="38" t="s">
        <v>539</v>
      </c>
      <c r="C706" s="38" t="s">
        <v>540</v>
      </c>
      <c r="D706" s="38">
        <v>2007</v>
      </c>
      <c r="E706" s="38">
        <v>2004</v>
      </c>
      <c r="F706" s="38" t="s">
        <v>498</v>
      </c>
      <c r="G706" s="38" t="s">
        <v>541</v>
      </c>
      <c r="H706" s="38">
        <f t="shared" si="199"/>
        <v>42.05</v>
      </c>
      <c r="I706" s="38">
        <f t="shared" si="200"/>
        <v>-93.71</v>
      </c>
      <c r="J706" s="38">
        <v>307.8</v>
      </c>
      <c r="K706" s="38">
        <v>9.9</v>
      </c>
      <c r="L706" s="38">
        <v>9.1999999999999993</v>
      </c>
      <c r="M706" s="38">
        <v>865</v>
      </c>
      <c r="N706" s="38">
        <v>837</v>
      </c>
      <c r="P706" s="57">
        <v>4</v>
      </c>
      <c r="Q706" s="57"/>
      <c r="R706" s="57"/>
      <c r="S706" s="57" t="s">
        <v>1575</v>
      </c>
      <c r="T706" s="57" t="s">
        <v>1575</v>
      </c>
      <c r="U706" s="57" t="s">
        <v>1593</v>
      </c>
      <c r="V706" s="57" t="s">
        <v>1914</v>
      </c>
      <c r="W706" s="38">
        <v>1.25</v>
      </c>
      <c r="Z706" s="38" t="s">
        <v>167</v>
      </c>
      <c r="AD706" s="38" t="s">
        <v>1492</v>
      </c>
      <c r="AE706" s="38" t="s">
        <v>544</v>
      </c>
      <c r="AF706" s="152" t="s">
        <v>1761</v>
      </c>
      <c r="AG706" s="38" t="s">
        <v>190</v>
      </c>
      <c r="AH706" s="155" t="s">
        <v>1791</v>
      </c>
      <c r="AI706" s="38" t="s">
        <v>542</v>
      </c>
      <c r="AJ706" s="38" t="s">
        <v>542</v>
      </c>
      <c r="AK706" s="38" t="s">
        <v>212</v>
      </c>
      <c r="AL706" s="38" t="s">
        <v>543</v>
      </c>
      <c r="AM706" s="38" t="s">
        <v>543</v>
      </c>
      <c r="AN706" s="38" t="s">
        <v>212</v>
      </c>
      <c r="AR706" s="38" t="s">
        <v>147</v>
      </c>
      <c r="AS706" s="38">
        <v>4</v>
      </c>
      <c r="AT706" s="38">
        <v>4</v>
      </c>
      <c r="AU706" s="38" t="s">
        <v>169</v>
      </c>
      <c r="AW706" s="38">
        <f>2.02*1000</f>
        <v>2020</v>
      </c>
      <c r="AX706" s="38">
        <f>AW706/25.5</f>
        <v>79.215686274509807</v>
      </c>
      <c r="AY706" s="64"/>
      <c r="BD706" s="38">
        <f>13.3*1000</f>
        <v>13300</v>
      </c>
      <c r="BE706" s="38">
        <f>13.1*1000</f>
        <v>13100</v>
      </c>
      <c r="BM706" s="38">
        <f>94.6*0.067</f>
        <v>6.3381999999999996</v>
      </c>
      <c r="BN706" s="38">
        <f>59.6*0.067</f>
        <v>3.9932000000000003</v>
      </c>
      <c r="BO706" s="38" t="s">
        <v>546</v>
      </c>
      <c r="DC706" s="38">
        <v>19.8</v>
      </c>
      <c r="DD706" s="38">
        <v>17.399999999999999</v>
      </c>
      <c r="DE706" s="38" t="s">
        <v>547</v>
      </c>
      <c r="EJ706" s="12"/>
      <c r="EL706" s="15"/>
      <c r="FT706" s="38">
        <v>32</v>
      </c>
    </row>
    <row r="707" spans="1:176" s="38" customFormat="1" x14ac:dyDescent="0.25">
      <c r="A707" s="38">
        <v>32</v>
      </c>
      <c r="B707" s="38" t="s">
        <v>539</v>
      </c>
      <c r="C707" s="38" t="s">
        <v>540</v>
      </c>
      <c r="D707" s="38">
        <v>2007</v>
      </c>
      <c r="E707" s="38">
        <v>2004</v>
      </c>
      <c r="F707" s="38" t="s">
        <v>498</v>
      </c>
      <c r="G707" s="38" t="s">
        <v>541</v>
      </c>
      <c r="H707" s="38">
        <f t="shared" si="199"/>
        <v>42.05</v>
      </c>
      <c r="I707" s="38">
        <f t="shared" si="200"/>
        <v>-93.71</v>
      </c>
      <c r="J707" s="38">
        <v>307.8</v>
      </c>
      <c r="K707" s="38">
        <v>9.9</v>
      </c>
      <c r="L707" s="38">
        <v>9.1999999999999993</v>
      </c>
      <c r="M707" s="38">
        <v>865</v>
      </c>
      <c r="N707" s="38">
        <v>837</v>
      </c>
      <c r="P707" s="57">
        <v>4</v>
      </c>
      <c r="Q707" s="57"/>
      <c r="R707" s="57"/>
      <c r="S707" s="57" t="s">
        <v>1575</v>
      </c>
      <c r="T707" s="57" t="s">
        <v>1575</v>
      </c>
      <c r="U707" s="57" t="s">
        <v>1593</v>
      </c>
      <c r="V707" s="57" t="s">
        <v>1914</v>
      </c>
      <c r="W707" s="38">
        <v>1.25</v>
      </c>
      <c r="Z707" s="38" t="s">
        <v>167</v>
      </c>
      <c r="AD707" s="38" t="s">
        <v>1492</v>
      </c>
      <c r="AE707" s="38" t="s">
        <v>159</v>
      </c>
      <c r="AF707" s="152" t="s">
        <v>159</v>
      </c>
      <c r="AG707" s="38" t="s">
        <v>160</v>
      </c>
      <c r="AH707" s="155" t="s">
        <v>1791</v>
      </c>
      <c r="AI707" s="38" t="s">
        <v>542</v>
      </c>
      <c r="AJ707" s="38" t="s">
        <v>542</v>
      </c>
      <c r="AK707" s="38" t="s">
        <v>212</v>
      </c>
      <c r="AL707" s="38" t="s">
        <v>543</v>
      </c>
      <c r="AM707" s="38" t="s">
        <v>543</v>
      </c>
      <c r="AN707" s="38" t="s">
        <v>212</v>
      </c>
      <c r="AR707" s="38" t="s">
        <v>147</v>
      </c>
      <c r="AS707" s="38">
        <v>4</v>
      </c>
      <c r="AT707" s="38">
        <v>4</v>
      </c>
      <c r="AU707" s="38" t="s">
        <v>169</v>
      </c>
      <c r="AW707" s="38">
        <f>1.48*1000</f>
        <v>1480</v>
      </c>
      <c r="AX707" s="38">
        <f>AW707/48.5</f>
        <v>30.515463917525775</v>
      </c>
      <c r="AY707" s="64"/>
      <c r="BD707" s="38">
        <f>13.3*1000</f>
        <v>13300</v>
      </c>
      <c r="BE707" s="38">
        <f>13.3*1000</f>
        <v>13300</v>
      </c>
      <c r="BM707" s="38">
        <f>94.6*0.067</f>
        <v>6.3381999999999996</v>
      </c>
      <c r="BN707" s="38">
        <f>70.4*0.067</f>
        <v>4.716800000000001</v>
      </c>
      <c r="BO707" s="38" t="s">
        <v>546</v>
      </c>
      <c r="DC707" s="38">
        <v>19.8</v>
      </c>
      <c r="DD707" s="38">
        <v>9.3000000000000007</v>
      </c>
      <c r="DE707" s="38" t="s">
        <v>547</v>
      </c>
      <c r="EJ707" s="12"/>
      <c r="EL707" s="15"/>
      <c r="FT707" s="38">
        <v>32</v>
      </c>
    </row>
    <row r="708" spans="1:176" s="38" customFormat="1" x14ac:dyDescent="0.25">
      <c r="A708" s="38">
        <v>32</v>
      </c>
      <c r="B708" s="38" t="s">
        <v>539</v>
      </c>
      <c r="C708" s="38" t="s">
        <v>540</v>
      </c>
      <c r="D708" s="38">
        <v>2007</v>
      </c>
      <c r="E708" s="38">
        <v>2005</v>
      </c>
      <c r="F708" s="38" t="s">
        <v>498</v>
      </c>
      <c r="G708" s="38" t="s">
        <v>541</v>
      </c>
      <c r="H708" s="38">
        <f t="shared" si="199"/>
        <v>42.05</v>
      </c>
      <c r="I708" s="38">
        <f t="shared" si="200"/>
        <v>-93.71</v>
      </c>
      <c r="J708" s="38">
        <v>307.8</v>
      </c>
      <c r="K708" s="38">
        <v>10.6</v>
      </c>
      <c r="L708" s="38">
        <v>9.1999999999999993</v>
      </c>
      <c r="M708" s="38">
        <v>893</v>
      </c>
      <c r="N708" s="38">
        <v>837</v>
      </c>
      <c r="P708" s="57">
        <v>5</v>
      </c>
      <c r="Q708" s="57"/>
      <c r="R708" s="57"/>
      <c r="S708" s="57" t="s">
        <v>1575</v>
      </c>
      <c r="T708" s="57" t="s">
        <v>1575</v>
      </c>
      <c r="U708" s="57" t="s">
        <v>1593</v>
      </c>
      <c r="V708" s="57" t="s">
        <v>1914</v>
      </c>
      <c r="W708" s="38">
        <v>1.25</v>
      </c>
      <c r="Z708" s="38" t="s">
        <v>167</v>
      </c>
      <c r="AD708" s="38" t="s">
        <v>1492</v>
      </c>
      <c r="AE708" s="38" t="s">
        <v>544</v>
      </c>
      <c r="AF708" s="152" t="s">
        <v>1761</v>
      </c>
      <c r="AG708" s="38" t="s">
        <v>190</v>
      </c>
      <c r="AH708" s="155" t="s">
        <v>1791</v>
      </c>
      <c r="AI708" s="38" t="s">
        <v>542</v>
      </c>
      <c r="AJ708" s="38" t="s">
        <v>542</v>
      </c>
      <c r="AK708" s="38" t="s">
        <v>212</v>
      </c>
      <c r="AL708" s="38" t="s">
        <v>543</v>
      </c>
      <c r="AM708" s="38" t="s">
        <v>543</v>
      </c>
      <c r="AN708" s="38" t="s">
        <v>212</v>
      </c>
      <c r="AR708" s="38" t="s">
        <v>147</v>
      </c>
      <c r="AS708" s="38">
        <v>4</v>
      </c>
      <c r="AT708" s="38">
        <v>4</v>
      </c>
      <c r="AU708" s="38" t="s">
        <v>169</v>
      </c>
      <c r="AW708" s="38">
        <f>1.48*1000</f>
        <v>1480</v>
      </c>
      <c r="AX708" s="38">
        <f>AW708/16</f>
        <v>92.5</v>
      </c>
      <c r="AY708" s="64"/>
      <c r="BD708" s="38">
        <f>4.5*1000</f>
        <v>4500</v>
      </c>
      <c r="BE708" s="38">
        <f>4.2*1000</f>
        <v>4200</v>
      </c>
      <c r="BM708" s="38">
        <f>65.3*0.067</f>
        <v>4.3750999999999998</v>
      </c>
      <c r="BN708" s="38">
        <f>46.2*0.067</f>
        <v>3.0954000000000006</v>
      </c>
      <c r="BO708" s="38" t="s">
        <v>546</v>
      </c>
      <c r="DC708" s="38">
        <v>21.6</v>
      </c>
      <c r="DD708" s="38">
        <v>17.7</v>
      </c>
      <c r="DE708" s="38" t="s">
        <v>547</v>
      </c>
      <c r="EJ708" s="12"/>
      <c r="EL708" s="15"/>
      <c r="FT708" s="38">
        <v>32</v>
      </c>
    </row>
    <row r="709" spans="1:176" s="38" customFormat="1" x14ac:dyDescent="0.25">
      <c r="A709" s="38">
        <v>32</v>
      </c>
      <c r="B709" s="38" t="s">
        <v>539</v>
      </c>
      <c r="C709" s="38" t="s">
        <v>540</v>
      </c>
      <c r="D709" s="38">
        <v>2007</v>
      </c>
      <c r="E709" s="38">
        <v>2005</v>
      </c>
      <c r="F709" s="38" t="s">
        <v>498</v>
      </c>
      <c r="G709" s="38" t="s">
        <v>541</v>
      </c>
      <c r="H709" s="38">
        <f t="shared" si="199"/>
        <v>42.05</v>
      </c>
      <c r="I709" s="38">
        <f t="shared" si="200"/>
        <v>-93.71</v>
      </c>
      <c r="J709" s="38">
        <v>307.8</v>
      </c>
      <c r="K709" s="38">
        <v>10.6</v>
      </c>
      <c r="L709" s="38">
        <v>9.1999999999999993</v>
      </c>
      <c r="M709" s="38">
        <v>893</v>
      </c>
      <c r="N709" s="38">
        <v>837</v>
      </c>
      <c r="P709" s="57">
        <v>5</v>
      </c>
      <c r="Q709" s="57"/>
      <c r="R709" s="57"/>
      <c r="S709" s="57" t="s">
        <v>1575</v>
      </c>
      <c r="T709" s="57" t="s">
        <v>1575</v>
      </c>
      <c r="U709" s="57" t="s">
        <v>1593</v>
      </c>
      <c r="V709" s="57" t="s">
        <v>1914</v>
      </c>
      <c r="W709" s="38">
        <v>1.25</v>
      </c>
      <c r="Z709" s="38" t="s">
        <v>167</v>
      </c>
      <c r="AD709" s="38" t="s">
        <v>1492</v>
      </c>
      <c r="AE709" s="38" t="s">
        <v>159</v>
      </c>
      <c r="AF709" s="152" t="s">
        <v>159</v>
      </c>
      <c r="AG709" s="38" t="s">
        <v>160</v>
      </c>
      <c r="AH709" s="155" t="s">
        <v>1791</v>
      </c>
      <c r="AI709" s="38" t="s">
        <v>542</v>
      </c>
      <c r="AJ709" s="38" t="s">
        <v>542</v>
      </c>
      <c r="AK709" s="38" t="s">
        <v>212</v>
      </c>
      <c r="AL709" s="38" t="s">
        <v>543</v>
      </c>
      <c r="AM709" s="38" t="s">
        <v>543</v>
      </c>
      <c r="AN709" s="38" t="s">
        <v>212</v>
      </c>
      <c r="AR709" s="38" t="s">
        <v>147</v>
      </c>
      <c r="AS709" s="38">
        <v>4</v>
      </c>
      <c r="AT709" s="38">
        <v>4</v>
      </c>
      <c r="AU709" s="38" t="s">
        <v>169</v>
      </c>
      <c r="AW709" s="38">
        <f>2.74*1000</f>
        <v>2740</v>
      </c>
      <c r="AX709" s="38">
        <f>AW709/76.5</f>
        <v>35.816993464052288</v>
      </c>
      <c r="AY709" s="64"/>
      <c r="BD709" s="38">
        <f>4.5*1000</f>
        <v>4500</v>
      </c>
      <c r="BE709" s="38">
        <f>4.2*1000</f>
        <v>4200</v>
      </c>
      <c r="BM709" s="38">
        <f>65.3*0.067</f>
        <v>4.3750999999999998</v>
      </c>
      <c r="BN709" s="38">
        <f>82.9*0.067</f>
        <v>5.5543000000000005</v>
      </c>
      <c r="BO709" s="38" t="s">
        <v>546</v>
      </c>
      <c r="DC709" s="38">
        <v>21.6</v>
      </c>
      <c r="DD709" s="38">
        <v>8</v>
      </c>
      <c r="DE709" s="38" t="s">
        <v>547</v>
      </c>
      <c r="EJ709" s="12"/>
      <c r="EL709" s="15"/>
      <c r="FT709" s="38">
        <v>32</v>
      </c>
    </row>
    <row r="710" spans="1:176" s="39" customFormat="1" x14ac:dyDescent="0.25">
      <c r="A710" s="39">
        <v>33</v>
      </c>
      <c r="B710" s="39" t="s">
        <v>548</v>
      </c>
      <c r="C710" s="39" t="s">
        <v>549</v>
      </c>
      <c r="D710" s="39">
        <v>2016</v>
      </c>
      <c r="E710" s="39">
        <v>2011</v>
      </c>
      <c r="F710" s="39" t="s">
        <v>550</v>
      </c>
      <c r="G710" s="39" t="s">
        <v>359</v>
      </c>
      <c r="H710" s="39">
        <v>40.72</v>
      </c>
      <c r="I710" s="39">
        <v>-77.92</v>
      </c>
      <c r="J710" s="39">
        <v>350</v>
      </c>
      <c r="P710" s="58">
        <v>1</v>
      </c>
      <c r="Q710" s="58"/>
      <c r="R710" s="58" t="s">
        <v>552</v>
      </c>
      <c r="S710" s="58" t="s">
        <v>1553</v>
      </c>
      <c r="T710" s="58" t="s">
        <v>1553</v>
      </c>
      <c r="U710" s="58" t="s">
        <v>1553</v>
      </c>
      <c r="V710" s="58" t="s">
        <v>1553</v>
      </c>
      <c r="Z710" s="39" t="s">
        <v>531</v>
      </c>
      <c r="AD710" s="39" t="s">
        <v>1493</v>
      </c>
      <c r="AE710" s="39" t="s">
        <v>159</v>
      </c>
      <c r="AF710" s="152" t="s">
        <v>159</v>
      </c>
      <c r="AG710" s="39" t="s">
        <v>190</v>
      </c>
      <c r="AH710" s="154" t="s">
        <v>190</v>
      </c>
      <c r="AL710" s="39" t="s">
        <v>551</v>
      </c>
      <c r="AM710" s="39" t="s">
        <v>551</v>
      </c>
      <c r="AN710" s="39" t="s">
        <v>212</v>
      </c>
      <c r="AR710" s="39" t="s">
        <v>192</v>
      </c>
      <c r="AS710" s="39">
        <v>4</v>
      </c>
      <c r="AT710" s="39">
        <v>4</v>
      </c>
      <c r="AU710" s="39" t="s">
        <v>379</v>
      </c>
      <c r="AY710" s="63"/>
      <c r="BD710" s="39">
        <f>2.4*1000</f>
        <v>2400</v>
      </c>
      <c r="BE710" s="39">
        <f>2.8*1000</f>
        <v>2800</v>
      </c>
      <c r="DO710" s="39">
        <v>1800</v>
      </c>
      <c r="DP710" s="39">
        <v>1770</v>
      </c>
      <c r="EJ710" s="12"/>
      <c r="EL710" s="15"/>
      <c r="FT710" s="39">
        <v>33</v>
      </c>
    </row>
    <row r="711" spans="1:176" s="39" customFormat="1" x14ac:dyDescent="0.25">
      <c r="A711" s="39">
        <v>33</v>
      </c>
      <c r="B711" s="39" t="s">
        <v>548</v>
      </c>
      <c r="C711" s="39" t="s">
        <v>549</v>
      </c>
      <c r="D711" s="39">
        <v>2016</v>
      </c>
      <c r="E711" s="39">
        <v>2011</v>
      </c>
      <c r="F711" s="39" t="s">
        <v>550</v>
      </c>
      <c r="G711" s="39" t="s">
        <v>359</v>
      </c>
      <c r="H711" s="39">
        <v>40.72</v>
      </c>
      <c r="I711" s="39">
        <v>-77.92</v>
      </c>
      <c r="J711" s="39">
        <v>350</v>
      </c>
      <c r="P711" s="58">
        <v>1</v>
      </c>
      <c r="Q711" s="58"/>
      <c r="R711" s="58" t="s">
        <v>553</v>
      </c>
      <c r="S711" s="58" t="s">
        <v>1553</v>
      </c>
      <c r="T711" s="58" t="s">
        <v>1553</v>
      </c>
      <c r="U711" s="58" t="s">
        <v>1553</v>
      </c>
      <c r="V711" s="58" t="s">
        <v>1553</v>
      </c>
      <c r="Z711" s="39" t="s">
        <v>531</v>
      </c>
      <c r="AD711" s="39" t="s">
        <v>1493</v>
      </c>
      <c r="AE711" s="39" t="s">
        <v>159</v>
      </c>
      <c r="AF711" s="152" t="s">
        <v>159</v>
      </c>
      <c r="AG711" s="39" t="s">
        <v>190</v>
      </c>
      <c r="AH711" s="154" t="s">
        <v>190</v>
      </c>
      <c r="AL711" s="39" t="s">
        <v>551</v>
      </c>
      <c r="AM711" s="39" t="s">
        <v>551</v>
      </c>
      <c r="AN711" s="39" t="s">
        <v>212</v>
      </c>
      <c r="AR711" s="39" t="s">
        <v>192</v>
      </c>
      <c r="AS711" s="39">
        <v>4</v>
      </c>
      <c r="AT711" s="39">
        <v>4</v>
      </c>
      <c r="AU711" s="39" t="s">
        <v>379</v>
      </c>
      <c r="AY711" s="63"/>
      <c r="BD711" s="39">
        <f>2.8*1000</f>
        <v>2800</v>
      </c>
      <c r="BE711" s="39">
        <f>3.2*1000</f>
        <v>3200</v>
      </c>
      <c r="DO711" s="39">
        <v>340</v>
      </c>
      <c r="DP711" s="39">
        <v>260</v>
      </c>
      <c r="EJ711" s="12"/>
      <c r="EL711" s="15"/>
      <c r="FT711" s="39">
        <v>33</v>
      </c>
    </row>
    <row r="712" spans="1:176" s="39" customFormat="1" x14ac:dyDescent="0.25">
      <c r="A712" s="39">
        <v>33</v>
      </c>
      <c r="B712" s="39" t="s">
        <v>548</v>
      </c>
      <c r="C712" s="39" t="s">
        <v>549</v>
      </c>
      <c r="D712" s="39">
        <v>2016</v>
      </c>
      <c r="E712" s="39">
        <v>2011</v>
      </c>
      <c r="F712" s="39" t="s">
        <v>550</v>
      </c>
      <c r="G712" s="39" t="s">
        <v>359</v>
      </c>
      <c r="H712" s="39">
        <v>40.72</v>
      </c>
      <c r="I712" s="39">
        <v>-77.92</v>
      </c>
      <c r="J712" s="39">
        <v>350</v>
      </c>
      <c r="P712" s="58">
        <v>1</v>
      </c>
      <c r="Q712" s="58"/>
      <c r="R712" s="58" t="s">
        <v>554</v>
      </c>
      <c r="S712" s="58" t="s">
        <v>1553</v>
      </c>
      <c r="T712" s="58" t="s">
        <v>1553</v>
      </c>
      <c r="U712" s="58" t="s">
        <v>1553</v>
      </c>
      <c r="V712" s="58" t="s">
        <v>1553</v>
      </c>
      <c r="Z712" s="39" t="s">
        <v>531</v>
      </c>
      <c r="AD712" s="39" t="s">
        <v>1493</v>
      </c>
      <c r="AE712" s="39" t="s">
        <v>159</v>
      </c>
      <c r="AF712" s="152" t="s">
        <v>159</v>
      </c>
      <c r="AG712" s="39" t="s">
        <v>190</v>
      </c>
      <c r="AH712" s="154" t="s">
        <v>190</v>
      </c>
      <c r="AL712" s="39" t="s">
        <v>551</v>
      </c>
      <c r="AM712" s="39" t="s">
        <v>551</v>
      </c>
      <c r="AN712" s="39" t="s">
        <v>212</v>
      </c>
      <c r="AR712" s="39" t="s">
        <v>192</v>
      </c>
      <c r="AS712" s="39">
        <v>4</v>
      </c>
      <c r="AT712" s="39">
        <v>4</v>
      </c>
      <c r="AU712" s="39" t="s">
        <v>379</v>
      </c>
      <c r="AY712" s="63"/>
      <c r="BD712" s="39">
        <f>2.3*1000</f>
        <v>2300</v>
      </c>
      <c r="BE712" s="39">
        <f>2.8*1000</f>
        <v>2800</v>
      </c>
      <c r="DO712" s="39">
        <v>600</v>
      </c>
      <c r="DP712" s="39">
        <v>670</v>
      </c>
      <c r="EJ712" s="12"/>
      <c r="EL712" s="15"/>
      <c r="FT712" s="39">
        <v>33</v>
      </c>
    </row>
    <row r="713" spans="1:176" s="39" customFormat="1" x14ac:dyDescent="0.25">
      <c r="A713" s="39">
        <v>33</v>
      </c>
      <c r="B713" s="39" t="s">
        <v>548</v>
      </c>
      <c r="C713" s="39" t="s">
        <v>549</v>
      </c>
      <c r="D713" s="39">
        <v>2016</v>
      </c>
      <c r="E713" s="39">
        <v>2011</v>
      </c>
      <c r="F713" s="39" t="s">
        <v>550</v>
      </c>
      <c r="G713" s="39" t="s">
        <v>359</v>
      </c>
      <c r="H713" s="39">
        <v>40.72</v>
      </c>
      <c r="I713" s="39">
        <v>-77.92</v>
      </c>
      <c r="J713" s="39">
        <v>350</v>
      </c>
      <c r="P713" s="58">
        <v>1</v>
      </c>
      <c r="Q713" s="58"/>
      <c r="R713" s="58" t="s">
        <v>555</v>
      </c>
      <c r="S713" s="58" t="s">
        <v>1553</v>
      </c>
      <c r="T713" s="58" t="s">
        <v>1553</v>
      </c>
      <c r="U713" s="58" t="s">
        <v>1553</v>
      </c>
      <c r="V713" s="58" t="s">
        <v>1553</v>
      </c>
      <c r="Z713" s="39" t="s">
        <v>531</v>
      </c>
      <c r="AD713" s="39" t="s">
        <v>1493</v>
      </c>
      <c r="AE713" s="39" t="s">
        <v>159</v>
      </c>
      <c r="AF713" s="152" t="s">
        <v>159</v>
      </c>
      <c r="AG713" s="39" t="s">
        <v>190</v>
      </c>
      <c r="AH713" s="154" t="s">
        <v>190</v>
      </c>
      <c r="AL713" s="39" t="s">
        <v>551</v>
      </c>
      <c r="AM713" s="39" t="s">
        <v>551</v>
      </c>
      <c r="AN713" s="39" t="s">
        <v>212</v>
      </c>
      <c r="AR713" s="39" t="s">
        <v>192</v>
      </c>
      <c r="AS713" s="39">
        <v>4</v>
      </c>
      <c r="AT713" s="39">
        <v>4</v>
      </c>
      <c r="AU713" s="39" t="s">
        <v>379</v>
      </c>
      <c r="AY713" s="63"/>
      <c r="BD713" s="39">
        <f>3*1000</f>
        <v>3000</v>
      </c>
      <c r="BE713" s="39">
        <f>3.8*1000</f>
        <v>3800</v>
      </c>
      <c r="DO713" s="39">
        <v>160</v>
      </c>
      <c r="DP713" s="39">
        <v>110</v>
      </c>
      <c r="EJ713" s="12"/>
      <c r="EL713" s="15"/>
      <c r="FT713" s="39">
        <v>33</v>
      </c>
    </row>
    <row r="714" spans="1:176" s="39" customFormat="1" x14ac:dyDescent="0.25">
      <c r="A714" s="39">
        <v>33</v>
      </c>
      <c r="B714" s="39" t="s">
        <v>548</v>
      </c>
      <c r="C714" s="39" t="s">
        <v>549</v>
      </c>
      <c r="D714" s="39">
        <v>2016</v>
      </c>
      <c r="E714" s="39">
        <v>2012</v>
      </c>
      <c r="F714" s="39" t="s">
        <v>550</v>
      </c>
      <c r="G714" s="39" t="s">
        <v>359</v>
      </c>
      <c r="H714" s="39">
        <v>40.72</v>
      </c>
      <c r="I714" s="39">
        <v>-77.92</v>
      </c>
      <c r="J714" s="39">
        <v>350</v>
      </c>
      <c r="P714" s="58">
        <v>2</v>
      </c>
      <c r="Q714" s="58"/>
      <c r="R714" s="58" t="s">
        <v>552</v>
      </c>
      <c r="S714" s="58" t="s">
        <v>1553</v>
      </c>
      <c r="T714" s="58" t="s">
        <v>1553</v>
      </c>
      <c r="U714" s="58" t="s">
        <v>1553</v>
      </c>
      <c r="V714" s="58" t="s">
        <v>1553</v>
      </c>
      <c r="Z714" s="39" t="s">
        <v>531</v>
      </c>
      <c r="AD714" s="39" t="s">
        <v>1493</v>
      </c>
      <c r="AE714" s="39" t="s">
        <v>159</v>
      </c>
      <c r="AF714" s="152" t="s">
        <v>159</v>
      </c>
      <c r="AG714" s="39" t="s">
        <v>190</v>
      </c>
      <c r="AH714" s="154" t="s">
        <v>190</v>
      </c>
      <c r="AL714" s="39" t="s">
        <v>551</v>
      </c>
      <c r="AM714" s="39" t="s">
        <v>551</v>
      </c>
      <c r="AN714" s="39" t="s">
        <v>212</v>
      </c>
      <c r="AR714" s="39" t="s">
        <v>192</v>
      </c>
      <c r="AS714" s="39">
        <v>4</v>
      </c>
      <c r="AT714" s="39">
        <v>4</v>
      </c>
      <c r="AU714" s="39" t="s">
        <v>379</v>
      </c>
      <c r="AY714" s="63"/>
      <c r="BD714" s="39">
        <f>3.6*1000</f>
        <v>3600</v>
      </c>
      <c r="BE714" s="39">
        <f>3.5*1000</f>
        <v>3500</v>
      </c>
      <c r="DO714" s="39">
        <v>30</v>
      </c>
      <c r="DP714" s="39">
        <v>910</v>
      </c>
      <c r="EJ714" s="12"/>
      <c r="EL714" s="15"/>
      <c r="FT714" s="39">
        <v>33</v>
      </c>
    </row>
    <row r="715" spans="1:176" s="39" customFormat="1" x14ac:dyDescent="0.25">
      <c r="A715" s="39">
        <v>33</v>
      </c>
      <c r="B715" s="39" t="s">
        <v>548</v>
      </c>
      <c r="C715" s="39" t="s">
        <v>549</v>
      </c>
      <c r="D715" s="39">
        <v>2016</v>
      </c>
      <c r="E715" s="39">
        <v>2012</v>
      </c>
      <c r="F715" s="39" t="s">
        <v>550</v>
      </c>
      <c r="G715" s="39" t="s">
        <v>359</v>
      </c>
      <c r="H715" s="39">
        <v>40.72</v>
      </c>
      <c r="I715" s="39">
        <v>-77.92</v>
      </c>
      <c r="J715" s="39">
        <v>350</v>
      </c>
      <c r="P715" s="58">
        <v>2</v>
      </c>
      <c r="Q715" s="58"/>
      <c r="R715" s="58" t="s">
        <v>553</v>
      </c>
      <c r="S715" s="58" t="s">
        <v>1553</v>
      </c>
      <c r="T715" s="58" t="s">
        <v>1553</v>
      </c>
      <c r="U715" s="58" t="s">
        <v>1553</v>
      </c>
      <c r="V715" s="58" t="s">
        <v>1553</v>
      </c>
      <c r="Z715" s="39" t="s">
        <v>531</v>
      </c>
      <c r="AD715" s="39" t="s">
        <v>1493</v>
      </c>
      <c r="AE715" s="39" t="s">
        <v>159</v>
      </c>
      <c r="AF715" s="152" t="s">
        <v>159</v>
      </c>
      <c r="AG715" s="39" t="s">
        <v>190</v>
      </c>
      <c r="AH715" s="154" t="s">
        <v>190</v>
      </c>
      <c r="AL715" s="39" t="s">
        <v>551</v>
      </c>
      <c r="AM715" s="39" t="s">
        <v>551</v>
      </c>
      <c r="AN715" s="39" t="s">
        <v>212</v>
      </c>
      <c r="AR715" s="39" t="s">
        <v>192</v>
      </c>
      <c r="AS715" s="39">
        <v>4</v>
      </c>
      <c r="AT715" s="39">
        <v>4</v>
      </c>
      <c r="AU715" s="39" t="s">
        <v>379</v>
      </c>
      <c r="AY715" s="63"/>
      <c r="BD715" s="39">
        <f>3.5*1000</f>
        <v>3500</v>
      </c>
      <c r="BE715" s="39">
        <f>3.7*1000</f>
        <v>3700</v>
      </c>
      <c r="DO715" s="39">
        <v>90</v>
      </c>
      <c r="DP715" s="39">
        <v>510</v>
      </c>
      <c r="EJ715" s="12"/>
      <c r="EL715" s="15"/>
      <c r="FT715" s="39">
        <v>33</v>
      </c>
    </row>
    <row r="716" spans="1:176" s="39" customFormat="1" x14ac:dyDescent="0.25">
      <c r="A716" s="39">
        <v>33</v>
      </c>
      <c r="B716" s="39" t="s">
        <v>548</v>
      </c>
      <c r="C716" s="39" t="s">
        <v>549</v>
      </c>
      <c r="D716" s="39">
        <v>2016</v>
      </c>
      <c r="E716" s="39">
        <v>2012</v>
      </c>
      <c r="F716" s="39" t="s">
        <v>550</v>
      </c>
      <c r="G716" s="39" t="s">
        <v>359</v>
      </c>
      <c r="H716" s="39">
        <v>40.72</v>
      </c>
      <c r="I716" s="39">
        <v>-77.92</v>
      </c>
      <c r="J716" s="39">
        <v>350</v>
      </c>
      <c r="P716" s="58">
        <v>2</v>
      </c>
      <c r="Q716" s="58"/>
      <c r="R716" s="58" t="s">
        <v>554</v>
      </c>
      <c r="S716" s="58" t="s">
        <v>1553</v>
      </c>
      <c r="T716" s="58" t="s">
        <v>1553</v>
      </c>
      <c r="U716" s="58" t="s">
        <v>1553</v>
      </c>
      <c r="V716" s="58" t="s">
        <v>1553</v>
      </c>
      <c r="Z716" s="39" t="s">
        <v>531</v>
      </c>
      <c r="AD716" s="39" t="s">
        <v>1493</v>
      </c>
      <c r="AE716" s="39" t="s">
        <v>159</v>
      </c>
      <c r="AF716" s="152" t="s">
        <v>159</v>
      </c>
      <c r="AG716" s="39" t="s">
        <v>190</v>
      </c>
      <c r="AH716" s="154" t="s">
        <v>190</v>
      </c>
      <c r="AL716" s="39" t="s">
        <v>551</v>
      </c>
      <c r="AM716" s="39" t="s">
        <v>551</v>
      </c>
      <c r="AN716" s="39" t="s">
        <v>212</v>
      </c>
      <c r="AR716" s="39" t="s">
        <v>192</v>
      </c>
      <c r="AS716" s="39">
        <v>4</v>
      </c>
      <c r="AT716" s="39">
        <v>4</v>
      </c>
      <c r="AU716" s="39" t="s">
        <v>379</v>
      </c>
      <c r="AY716" s="63"/>
      <c r="BD716" s="39">
        <f>3*1000</f>
        <v>3000</v>
      </c>
      <c r="BE716" s="39">
        <f>3.5*1000</f>
        <v>3500</v>
      </c>
      <c r="DO716" s="39">
        <v>490</v>
      </c>
      <c r="DP716" s="39">
        <v>470</v>
      </c>
      <c r="EJ716" s="12"/>
      <c r="EL716" s="15"/>
      <c r="FT716" s="39">
        <v>33</v>
      </c>
    </row>
    <row r="717" spans="1:176" s="39" customFormat="1" x14ac:dyDescent="0.25">
      <c r="A717" s="39">
        <v>33</v>
      </c>
      <c r="B717" s="39" t="s">
        <v>548</v>
      </c>
      <c r="C717" s="39" t="s">
        <v>549</v>
      </c>
      <c r="D717" s="39">
        <v>2016</v>
      </c>
      <c r="E717" s="39">
        <v>2012</v>
      </c>
      <c r="F717" s="39" t="s">
        <v>550</v>
      </c>
      <c r="G717" s="39" t="s">
        <v>359</v>
      </c>
      <c r="H717" s="39">
        <v>40.72</v>
      </c>
      <c r="I717" s="39">
        <v>-77.92</v>
      </c>
      <c r="J717" s="39">
        <v>350</v>
      </c>
      <c r="P717" s="58">
        <v>2</v>
      </c>
      <c r="Q717" s="58"/>
      <c r="R717" s="58" t="s">
        <v>555</v>
      </c>
      <c r="S717" s="58" t="s">
        <v>1553</v>
      </c>
      <c r="T717" s="58" t="s">
        <v>1553</v>
      </c>
      <c r="U717" s="58" t="s">
        <v>1553</v>
      </c>
      <c r="V717" s="58" t="s">
        <v>1553</v>
      </c>
      <c r="Z717" s="39" t="s">
        <v>531</v>
      </c>
      <c r="AD717" s="39" t="s">
        <v>1493</v>
      </c>
      <c r="AE717" s="39" t="s">
        <v>159</v>
      </c>
      <c r="AF717" s="152" t="s">
        <v>159</v>
      </c>
      <c r="AG717" s="39" t="s">
        <v>190</v>
      </c>
      <c r="AH717" s="154" t="s">
        <v>190</v>
      </c>
      <c r="AL717" s="39" t="s">
        <v>551</v>
      </c>
      <c r="AM717" s="39" t="s">
        <v>551</v>
      </c>
      <c r="AN717" s="39" t="s">
        <v>212</v>
      </c>
      <c r="AR717" s="39" t="s">
        <v>192</v>
      </c>
      <c r="AS717" s="39">
        <v>4</v>
      </c>
      <c r="AT717" s="39">
        <v>4</v>
      </c>
      <c r="AU717" s="39" t="s">
        <v>379</v>
      </c>
      <c r="AY717" s="63"/>
      <c r="BD717" s="39">
        <f>3.6*1000</f>
        <v>3600</v>
      </c>
      <c r="BE717" s="39">
        <f>3.8*1000</f>
        <v>3800</v>
      </c>
      <c r="DO717" s="39">
        <v>80</v>
      </c>
      <c r="DP717" s="39">
        <v>130</v>
      </c>
      <c r="EJ717" s="12"/>
      <c r="EL717" s="15"/>
      <c r="FT717" s="39">
        <v>33</v>
      </c>
    </row>
    <row r="718" spans="1:176" s="39" customFormat="1" x14ac:dyDescent="0.25">
      <c r="A718" s="39">
        <v>33</v>
      </c>
      <c r="B718" s="39" t="s">
        <v>548</v>
      </c>
      <c r="C718" s="39" t="s">
        <v>549</v>
      </c>
      <c r="D718" s="39">
        <v>2016</v>
      </c>
      <c r="E718" s="39">
        <v>2013</v>
      </c>
      <c r="F718" s="39" t="s">
        <v>550</v>
      </c>
      <c r="G718" s="39" t="s">
        <v>359</v>
      </c>
      <c r="H718" s="39">
        <v>40.72</v>
      </c>
      <c r="I718" s="39">
        <v>-77.92</v>
      </c>
      <c r="J718" s="39">
        <v>350</v>
      </c>
      <c r="P718" s="58">
        <v>3</v>
      </c>
      <c r="Q718" s="58"/>
      <c r="R718" s="58" t="s">
        <v>552</v>
      </c>
      <c r="S718" s="58" t="s">
        <v>1553</v>
      </c>
      <c r="T718" s="58" t="s">
        <v>1553</v>
      </c>
      <c r="U718" s="58" t="s">
        <v>1553</v>
      </c>
      <c r="V718" s="58" t="s">
        <v>1553</v>
      </c>
      <c r="Z718" s="39" t="s">
        <v>531</v>
      </c>
      <c r="AD718" s="39" t="s">
        <v>1493</v>
      </c>
      <c r="AE718" s="39" t="s">
        <v>159</v>
      </c>
      <c r="AF718" s="152" t="s">
        <v>159</v>
      </c>
      <c r="AG718" s="39" t="s">
        <v>190</v>
      </c>
      <c r="AH718" s="154" t="s">
        <v>190</v>
      </c>
      <c r="AL718" s="39" t="s">
        <v>551</v>
      </c>
      <c r="AM718" s="39" t="s">
        <v>551</v>
      </c>
      <c r="AN718" s="39" t="s">
        <v>212</v>
      </c>
      <c r="AR718" s="39" t="s">
        <v>192</v>
      </c>
      <c r="AS718" s="39">
        <v>4</v>
      </c>
      <c r="AT718" s="39">
        <v>4</v>
      </c>
      <c r="AU718" s="39" t="s">
        <v>379</v>
      </c>
      <c r="AY718" s="63"/>
      <c r="BD718" s="39">
        <f>3.6*1000</f>
        <v>3600</v>
      </c>
      <c r="BE718" s="39">
        <f>3.7*1000</f>
        <v>3700</v>
      </c>
      <c r="DO718" s="39">
        <v>1050</v>
      </c>
      <c r="DP718" s="39">
        <v>550</v>
      </c>
      <c r="EJ718" s="12"/>
      <c r="EL718" s="15"/>
      <c r="FT718" s="39">
        <v>33</v>
      </c>
    </row>
    <row r="719" spans="1:176" s="39" customFormat="1" x14ac:dyDescent="0.25">
      <c r="A719" s="39">
        <v>33</v>
      </c>
      <c r="B719" s="39" t="s">
        <v>548</v>
      </c>
      <c r="C719" s="39" t="s">
        <v>549</v>
      </c>
      <c r="D719" s="39">
        <v>2016</v>
      </c>
      <c r="E719" s="39">
        <v>2013</v>
      </c>
      <c r="F719" s="39" t="s">
        <v>550</v>
      </c>
      <c r="G719" s="39" t="s">
        <v>359</v>
      </c>
      <c r="H719" s="39">
        <v>40.72</v>
      </c>
      <c r="I719" s="39">
        <v>-77.92</v>
      </c>
      <c r="J719" s="39">
        <v>350</v>
      </c>
      <c r="P719" s="58">
        <v>3</v>
      </c>
      <c r="Q719" s="58"/>
      <c r="R719" s="58" t="s">
        <v>553</v>
      </c>
      <c r="S719" s="58" t="s">
        <v>1553</v>
      </c>
      <c r="T719" s="58" t="s">
        <v>1553</v>
      </c>
      <c r="U719" s="58" t="s">
        <v>1553</v>
      </c>
      <c r="V719" s="58" t="s">
        <v>1553</v>
      </c>
      <c r="Z719" s="39" t="s">
        <v>531</v>
      </c>
      <c r="AD719" s="39" t="s">
        <v>1493</v>
      </c>
      <c r="AE719" s="39" t="s">
        <v>159</v>
      </c>
      <c r="AF719" s="152" t="s">
        <v>159</v>
      </c>
      <c r="AG719" s="39" t="s">
        <v>190</v>
      </c>
      <c r="AH719" s="154" t="s">
        <v>190</v>
      </c>
      <c r="AL719" s="39" t="s">
        <v>551</v>
      </c>
      <c r="AM719" s="39" t="s">
        <v>551</v>
      </c>
      <c r="AN719" s="39" t="s">
        <v>212</v>
      </c>
      <c r="AR719" s="39" t="s">
        <v>192</v>
      </c>
      <c r="AS719" s="39">
        <v>4</v>
      </c>
      <c r="AT719" s="39">
        <v>4</v>
      </c>
      <c r="AU719" s="39" t="s">
        <v>379</v>
      </c>
      <c r="AY719" s="63"/>
      <c r="BD719" s="39">
        <f>3.4*1000</f>
        <v>3400</v>
      </c>
      <c r="BE719" s="39">
        <f>2.9*1000</f>
        <v>2900</v>
      </c>
      <c r="DO719" s="39">
        <v>1460</v>
      </c>
      <c r="DP719" s="39">
        <v>660</v>
      </c>
      <c r="EJ719" s="12"/>
      <c r="EL719" s="15"/>
      <c r="FT719" s="39">
        <v>33</v>
      </c>
    </row>
    <row r="720" spans="1:176" s="39" customFormat="1" x14ac:dyDescent="0.25">
      <c r="A720" s="39">
        <v>33</v>
      </c>
      <c r="B720" s="39" t="s">
        <v>548</v>
      </c>
      <c r="C720" s="39" t="s">
        <v>549</v>
      </c>
      <c r="D720" s="39">
        <v>2016</v>
      </c>
      <c r="E720" s="39">
        <v>2013</v>
      </c>
      <c r="F720" s="39" t="s">
        <v>550</v>
      </c>
      <c r="G720" s="39" t="s">
        <v>359</v>
      </c>
      <c r="H720" s="39">
        <v>40.72</v>
      </c>
      <c r="I720" s="39">
        <v>-77.92</v>
      </c>
      <c r="J720" s="39">
        <v>350</v>
      </c>
      <c r="P720" s="58">
        <v>3</v>
      </c>
      <c r="Q720" s="58"/>
      <c r="R720" s="58" t="s">
        <v>554</v>
      </c>
      <c r="S720" s="58" t="s">
        <v>1553</v>
      </c>
      <c r="T720" s="58" t="s">
        <v>1553</v>
      </c>
      <c r="U720" s="58" t="s">
        <v>1553</v>
      </c>
      <c r="V720" s="58" t="s">
        <v>1553</v>
      </c>
      <c r="Z720" s="39" t="s">
        <v>531</v>
      </c>
      <c r="AD720" s="39" t="s">
        <v>1493</v>
      </c>
      <c r="AE720" s="39" t="s">
        <v>159</v>
      </c>
      <c r="AF720" s="152" t="s">
        <v>159</v>
      </c>
      <c r="AG720" s="39" t="s">
        <v>190</v>
      </c>
      <c r="AH720" s="154" t="s">
        <v>190</v>
      </c>
      <c r="AL720" s="39" t="s">
        <v>551</v>
      </c>
      <c r="AM720" s="39" t="s">
        <v>551</v>
      </c>
      <c r="AN720" s="39" t="s">
        <v>212</v>
      </c>
      <c r="AR720" s="39" t="s">
        <v>192</v>
      </c>
      <c r="AS720" s="39">
        <v>4</v>
      </c>
      <c r="AT720" s="39">
        <v>4</v>
      </c>
      <c r="AU720" s="39" t="s">
        <v>379</v>
      </c>
      <c r="AY720" s="63"/>
      <c r="BD720" s="39">
        <f>3.4*1000</f>
        <v>3400</v>
      </c>
      <c r="BE720" s="39">
        <f>2.9*1000</f>
        <v>2900</v>
      </c>
      <c r="DO720" s="39">
        <v>1130</v>
      </c>
      <c r="DP720" s="39">
        <v>540</v>
      </c>
      <c r="EJ720" s="12"/>
      <c r="EL720" s="15"/>
      <c r="FT720" s="39">
        <v>33</v>
      </c>
    </row>
    <row r="721" spans="1:176" s="39" customFormat="1" x14ac:dyDescent="0.25">
      <c r="A721" s="39">
        <v>33</v>
      </c>
      <c r="B721" s="39" t="s">
        <v>548</v>
      </c>
      <c r="C721" s="39" t="s">
        <v>549</v>
      </c>
      <c r="D721" s="39">
        <v>2016</v>
      </c>
      <c r="E721" s="39">
        <v>2013</v>
      </c>
      <c r="F721" s="39" t="s">
        <v>550</v>
      </c>
      <c r="G721" s="39" t="s">
        <v>359</v>
      </c>
      <c r="H721" s="39">
        <v>40.72</v>
      </c>
      <c r="I721" s="39">
        <v>-77.92</v>
      </c>
      <c r="J721" s="39">
        <v>350</v>
      </c>
      <c r="P721" s="58">
        <v>3</v>
      </c>
      <c r="Q721" s="58"/>
      <c r="R721" s="58" t="s">
        <v>555</v>
      </c>
      <c r="S721" s="58" t="s">
        <v>1553</v>
      </c>
      <c r="T721" s="58" t="s">
        <v>1553</v>
      </c>
      <c r="U721" s="58" t="s">
        <v>1553</v>
      </c>
      <c r="V721" s="58" t="s">
        <v>1553</v>
      </c>
      <c r="Z721" s="39" t="s">
        <v>531</v>
      </c>
      <c r="AD721" s="39" t="s">
        <v>1493</v>
      </c>
      <c r="AE721" s="39" t="s">
        <v>159</v>
      </c>
      <c r="AF721" s="152" t="s">
        <v>159</v>
      </c>
      <c r="AG721" s="39" t="s">
        <v>190</v>
      </c>
      <c r="AH721" s="154" t="s">
        <v>190</v>
      </c>
      <c r="AL721" s="39" t="s">
        <v>551</v>
      </c>
      <c r="AM721" s="39" t="s">
        <v>551</v>
      </c>
      <c r="AN721" s="39" t="s">
        <v>212</v>
      </c>
      <c r="AR721" s="39" t="s">
        <v>192</v>
      </c>
      <c r="AS721" s="39">
        <v>4</v>
      </c>
      <c r="AT721" s="39">
        <v>4</v>
      </c>
      <c r="AU721" s="39" t="s">
        <v>379</v>
      </c>
      <c r="AY721" s="63"/>
      <c r="BD721" s="39">
        <f>3.6*1000</f>
        <v>3600</v>
      </c>
      <c r="BE721" s="39">
        <f>3.7*1000</f>
        <v>3700</v>
      </c>
      <c r="DO721" s="39">
        <v>510</v>
      </c>
      <c r="DP721" s="39">
        <v>200</v>
      </c>
      <c r="EJ721" s="12"/>
      <c r="EL721" s="15"/>
      <c r="FT721" s="39">
        <v>33</v>
      </c>
    </row>
    <row r="722" spans="1:176" s="35" customFormat="1" x14ac:dyDescent="0.25">
      <c r="A722" s="35">
        <v>33</v>
      </c>
      <c r="B722" s="35" t="s">
        <v>548</v>
      </c>
      <c r="C722" s="35" t="s">
        <v>549</v>
      </c>
      <c r="D722" s="35">
        <v>2016</v>
      </c>
      <c r="E722" s="35">
        <v>2012</v>
      </c>
      <c r="F722" s="35" t="s">
        <v>550</v>
      </c>
      <c r="G722" s="35" t="s">
        <v>359</v>
      </c>
      <c r="H722" s="35">
        <v>40.72</v>
      </c>
      <c r="I722" s="35">
        <v>-77.92</v>
      </c>
      <c r="J722" s="35">
        <v>350</v>
      </c>
      <c r="P722" s="54">
        <v>2</v>
      </c>
      <c r="Q722" s="54"/>
      <c r="R722" s="54" t="s">
        <v>552</v>
      </c>
      <c r="S722" s="54" t="s">
        <v>1553</v>
      </c>
      <c r="T722" s="54" t="s">
        <v>1553</v>
      </c>
      <c r="U722" s="54" t="s">
        <v>1553</v>
      </c>
      <c r="V722" s="54" t="s">
        <v>1553</v>
      </c>
      <c r="Z722" s="35" t="s">
        <v>531</v>
      </c>
      <c r="AD722" s="35" t="s">
        <v>1493</v>
      </c>
      <c r="AE722" s="35" t="s">
        <v>281</v>
      </c>
      <c r="AF722" s="152" t="s">
        <v>666</v>
      </c>
      <c r="AG722" s="35" t="s">
        <v>160</v>
      </c>
      <c r="AH722" s="154" t="s">
        <v>160</v>
      </c>
      <c r="AL722" s="35" t="s">
        <v>551</v>
      </c>
      <c r="AM722" s="35" t="s">
        <v>551</v>
      </c>
      <c r="AN722" s="35" t="s">
        <v>212</v>
      </c>
      <c r="AR722" s="35" t="s">
        <v>192</v>
      </c>
      <c r="AS722" s="35">
        <v>4</v>
      </c>
      <c r="AT722" s="35">
        <v>4</v>
      </c>
      <c r="AU722" s="35" t="s">
        <v>379</v>
      </c>
      <c r="AY722" s="63"/>
      <c r="BD722" s="35">
        <f>10.3*1000</f>
        <v>10300</v>
      </c>
      <c r="BE722" s="35">
        <f>11.9*1000</f>
        <v>11900</v>
      </c>
      <c r="DO722" s="35">
        <v>700</v>
      </c>
      <c r="DP722" s="35">
        <v>430</v>
      </c>
      <c r="EJ722" s="12"/>
      <c r="EL722" s="15"/>
      <c r="FT722" s="35">
        <v>33</v>
      </c>
    </row>
    <row r="723" spans="1:176" s="35" customFormat="1" x14ac:dyDescent="0.25">
      <c r="A723" s="35">
        <v>33</v>
      </c>
      <c r="B723" s="35" t="s">
        <v>548</v>
      </c>
      <c r="C723" s="35" t="s">
        <v>549</v>
      </c>
      <c r="D723" s="35">
        <v>2016</v>
      </c>
      <c r="E723" s="35">
        <v>2012</v>
      </c>
      <c r="F723" s="35" t="s">
        <v>550</v>
      </c>
      <c r="G723" s="35" t="s">
        <v>359</v>
      </c>
      <c r="H723" s="35">
        <v>40.72</v>
      </c>
      <c r="I723" s="35">
        <v>-77.92</v>
      </c>
      <c r="J723" s="35">
        <v>350</v>
      </c>
      <c r="P723" s="54">
        <v>2</v>
      </c>
      <c r="Q723" s="54"/>
      <c r="R723" s="54" t="s">
        <v>553</v>
      </c>
      <c r="S723" s="54" t="s">
        <v>1553</v>
      </c>
      <c r="T723" s="54" t="s">
        <v>1553</v>
      </c>
      <c r="U723" s="54" t="s">
        <v>1553</v>
      </c>
      <c r="V723" s="54" t="s">
        <v>1553</v>
      </c>
      <c r="Z723" s="35" t="s">
        <v>531</v>
      </c>
      <c r="AD723" s="35" t="s">
        <v>1493</v>
      </c>
      <c r="AE723" s="35" t="s">
        <v>281</v>
      </c>
      <c r="AF723" s="152" t="s">
        <v>666</v>
      </c>
      <c r="AG723" s="35" t="s">
        <v>160</v>
      </c>
      <c r="AH723" s="154" t="s">
        <v>160</v>
      </c>
      <c r="AL723" s="35" t="s">
        <v>551</v>
      </c>
      <c r="AM723" s="35" t="s">
        <v>551</v>
      </c>
      <c r="AN723" s="35" t="s">
        <v>212</v>
      </c>
      <c r="AR723" s="35" t="s">
        <v>192</v>
      </c>
      <c r="AS723" s="35">
        <v>4</v>
      </c>
      <c r="AT723" s="35">
        <v>4</v>
      </c>
      <c r="AU723" s="35" t="s">
        <v>379</v>
      </c>
      <c r="AY723" s="63"/>
      <c r="BD723" s="35">
        <f>10.1*1000</f>
        <v>10100</v>
      </c>
      <c r="BE723" s="35">
        <f>10.9*1000</f>
        <v>10900</v>
      </c>
      <c r="DO723" s="35">
        <v>150</v>
      </c>
      <c r="DP723" s="35">
        <v>530</v>
      </c>
      <c r="EJ723" s="12"/>
      <c r="EL723" s="15"/>
      <c r="FT723" s="35">
        <v>33</v>
      </c>
    </row>
    <row r="724" spans="1:176" s="35" customFormat="1" x14ac:dyDescent="0.25">
      <c r="A724" s="35">
        <v>33</v>
      </c>
      <c r="B724" s="35" t="s">
        <v>548</v>
      </c>
      <c r="C724" s="35" t="s">
        <v>549</v>
      </c>
      <c r="D724" s="35">
        <v>2016</v>
      </c>
      <c r="E724" s="35">
        <v>2012</v>
      </c>
      <c r="F724" s="35" t="s">
        <v>550</v>
      </c>
      <c r="G724" s="35" t="s">
        <v>359</v>
      </c>
      <c r="H724" s="35">
        <v>40.72</v>
      </c>
      <c r="I724" s="35">
        <v>-77.92</v>
      </c>
      <c r="J724" s="35">
        <v>350</v>
      </c>
      <c r="P724" s="54">
        <v>2</v>
      </c>
      <c r="Q724" s="54"/>
      <c r="R724" s="54" t="s">
        <v>554</v>
      </c>
      <c r="S724" s="54" t="s">
        <v>1553</v>
      </c>
      <c r="T724" s="54" t="s">
        <v>1553</v>
      </c>
      <c r="U724" s="54" t="s">
        <v>1553</v>
      </c>
      <c r="V724" s="54" t="s">
        <v>1553</v>
      </c>
      <c r="Z724" s="35" t="s">
        <v>531</v>
      </c>
      <c r="AD724" s="35" t="s">
        <v>1493</v>
      </c>
      <c r="AE724" s="35" t="s">
        <v>281</v>
      </c>
      <c r="AF724" s="152" t="s">
        <v>666</v>
      </c>
      <c r="AG724" s="35" t="s">
        <v>160</v>
      </c>
      <c r="AH724" s="154" t="s">
        <v>160</v>
      </c>
      <c r="AL724" s="35" t="s">
        <v>551</v>
      </c>
      <c r="AM724" s="35" t="s">
        <v>551</v>
      </c>
      <c r="AN724" s="35" t="s">
        <v>212</v>
      </c>
      <c r="AR724" s="35" t="s">
        <v>192</v>
      </c>
      <c r="AS724" s="35">
        <v>4</v>
      </c>
      <c r="AT724" s="35">
        <v>4</v>
      </c>
      <c r="AU724" s="35" t="s">
        <v>379</v>
      </c>
      <c r="AY724" s="63"/>
      <c r="BD724" s="35">
        <f>9.8*1000</f>
        <v>9800</v>
      </c>
      <c r="BE724" s="35">
        <f>10.1*1000</f>
        <v>10100</v>
      </c>
      <c r="DO724" s="35">
        <v>120</v>
      </c>
      <c r="DP724" s="35">
        <v>680</v>
      </c>
      <c r="EJ724" s="12"/>
      <c r="EL724" s="15"/>
      <c r="FT724" s="35">
        <v>33</v>
      </c>
    </row>
    <row r="725" spans="1:176" s="35" customFormat="1" x14ac:dyDescent="0.25">
      <c r="A725" s="35">
        <v>33</v>
      </c>
      <c r="B725" s="35" t="s">
        <v>548</v>
      </c>
      <c r="C725" s="35" t="s">
        <v>549</v>
      </c>
      <c r="D725" s="35">
        <v>2016</v>
      </c>
      <c r="E725" s="35">
        <v>2012</v>
      </c>
      <c r="F725" s="35" t="s">
        <v>550</v>
      </c>
      <c r="G725" s="35" t="s">
        <v>359</v>
      </c>
      <c r="H725" s="35">
        <v>40.72</v>
      </c>
      <c r="I725" s="35">
        <v>-77.92</v>
      </c>
      <c r="J725" s="35">
        <v>350</v>
      </c>
      <c r="P725" s="54">
        <v>2</v>
      </c>
      <c r="Q725" s="54"/>
      <c r="R725" s="54" t="s">
        <v>555</v>
      </c>
      <c r="S725" s="54" t="s">
        <v>1553</v>
      </c>
      <c r="T725" s="54" t="s">
        <v>1553</v>
      </c>
      <c r="U725" s="54" t="s">
        <v>1553</v>
      </c>
      <c r="V725" s="54" t="s">
        <v>1553</v>
      </c>
      <c r="Z725" s="35" t="s">
        <v>531</v>
      </c>
      <c r="AD725" s="35" t="s">
        <v>1493</v>
      </c>
      <c r="AE725" s="35" t="s">
        <v>281</v>
      </c>
      <c r="AF725" s="152" t="s">
        <v>666</v>
      </c>
      <c r="AG725" s="35" t="s">
        <v>160</v>
      </c>
      <c r="AH725" s="154" t="s">
        <v>160</v>
      </c>
      <c r="AL725" s="35" t="s">
        <v>551</v>
      </c>
      <c r="AM725" s="35" t="s">
        <v>551</v>
      </c>
      <c r="AN725" s="35" t="s">
        <v>212</v>
      </c>
      <c r="AR725" s="35" t="s">
        <v>192</v>
      </c>
      <c r="AS725" s="35">
        <v>4</v>
      </c>
      <c r="AT725" s="35">
        <v>4</v>
      </c>
      <c r="AU725" s="35" t="s">
        <v>379</v>
      </c>
      <c r="AY725" s="63"/>
      <c r="BD725" s="35">
        <f>10.6*1000</f>
        <v>10600</v>
      </c>
      <c r="BE725" s="35">
        <f>11.7*1000</f>
        <v>11700</v>
      </c>
      <c r="DO725" s="35">
        <v>50</v>
      </c>
      <c r="DP725" s="35">
        <v>290</v>
      </c>
      <c r="EJ725" s="12"/>
      <c r="EL725" s="15"/>
      <c r="FT725" s="35">
        <v>33</v>
      </c>
    </row>
    <row r="726" spans="1:176" s="35" customFormat="1" x14ac:dyDescent="0.25">
      <c r="A726" s="35">
        <v>33</v>
      </c>
      <c r="B726" s="35" t="s">
        <v>548</v>
      </c>
      <c r="C726" s="35" t="s">
        <v>549</v>
      </c>
      <c r="D726" s="35">
        <v>2016</v>
      </c>
      <c r="E726" s="35">
        <v>2013</v>
      </c>
      <c r="F726" s="35" t="s">
        <v>550</v>
      </c>
      <c r="G726" s="35" t="s">
        <v>359</v>
      </c>
      <c r="H726" s="35">
        <v>40.72</v>
      </c>
      <c r="I726" s="35">
        <v>-77.92</v>
      </c>
      <c r="J726" s="35">
        <v>350</v>
      </c>
      <c r="P726" s="54">
        <v>3</v>
      </c>
      <c r="Q726" s="54"/>
      <c r="R726" s="54" t="s">
        <v>552</v>
      </c>
      <c r="S726" s="54" t="s">
        <v>1553</v>
      </c>
      <c r="T726" s="54" t="s">
        <v>1553</v>
      </c>
      <c r="U726" s="54" t="s">
        <v>1553</v>
      </c>
      <c r="V726" s="54" t="s">
        <v>1553</v>
      </c>
      <c r="Z726" s="35" t="s">
        <v>531</v>
      </c>
      <c r="AD726" s="35" t="s">
        <v>1493</v>
      </c>
      <c r="AE726" s="35" t="s">
        <v>281</v>
      </c>
      <c r="AF726" s="152" t="s">
        <v>666</v>
      </c>
      <c r="AG726" s="35" t="s">
        <v>160</v>
      </c>
      <c r="AH726" s="154" t="s">
        <v>160</v>
      </c>
      <c r="AL726" s="35" t="s">
        <v>551</v>
      </c>
      <c r="AM726" s="35" t="s">
        <v>551</v>
      </c>
      <c r="AN726" s="35" t="s">
        <v>212</v>
      </c>
      <c r="AR726" s="35" t="s">
        <v>192</v>
      </c>
      <c r="AS726" s="35">
        <v>4</v>
      </c>
      <c r="AT726" s="35">
        <v>4</v>
      </c>
      <c r="AU726" s="35" t="s">
        <v>379</v>
      </c>
      <c r="AY726" s="63"/>
      <c r="BD726" s="35">
        <f>11.2*1000</f>
        <v>11200</v>
      </c>
      <c r="BE726" s="35">
        <f>11*1000</f>
        <v>11000</v>
      </c>
      <c r="DO726" s="35">
        <v>220</v>
      </c>
      <c r="DP726" s="35">
        <v>240</v>
      </c>
      <c r="EJ726" s="12"/>
      <c r="EL726" s="15"/>
      <c r="FT726" s="35">
        <v>33</v>
      </c>
    </row>
    <row r="727" spans="1:176" s="35" customFormat="1" x14ac:dyDescent="0.25">
      <c r="A727" s="35">
        <v>33</v>
      </c>
      <c r="B727" s="35" t="s">
        <v>548</v>
      </c>
      <c r="C727" s="35" t="s">
        <v>549</v>
      </c>
      <c r="D727" s="35">
        <v>2016</v>
      </c>
      <c r="E727" s="35">
        <v>2013</v>
      </c>
      <c r="F727" s="35" t="s">
        <v>550</v>
      </c>
      <c r="G727" s="35" t="s">
        <v>359</v>
      </c>
      <c r="H727" s="35">
        <v>40.72</v>
      </c>
      <c r="I727" s="35">
        <v>-77.92</v>
      </c>
      <c r="J727" s="35">
        <v>350</v>
      </c>
      <c r="P727" s="54">
        <v>3</v>
      </c>
      <c r="Q727" s="54"/>
      <c r="R727" s="54" t="s">
        <v>553</v>
      </c>
      <c r="S727" s="54" t="s">
        <v>1553</v>
      </c>
      <c r="T727" s="54" t="s">
        <v>1553</v>
      </c>
      <c r="U727" s="54" t="s">
        <v>1553</v>
      </c>
      <c r="V727" s="54" t="s">
        <v>1553</v>
      </c>
      <c r="Z727" s="35" t="s">
        <v>531</v>
      </c>
      <c r="AD727" s="35" t="s">
        <v>1493</v>
      </c>
      <c r="AE727" s="35" t="s">
        <v>281</v>
      </c>
      <c r="AF727" s="152" t="s">
        <v>666</v>
      </c>
      <c r="AG727" s="35" t="s">
        <v>160</v>
      </c>
      <c r="AH727" s="154" t="s">
        <v>160</v>
      </c>
      <c r="AL727" s="35" t="s">
        <v>551</v>
      </c>
      <c r="AM727" s="35" t="s">
        <v>551</v>
      </c>
      <c r="AN727" s="35" t="s">
        <v>212</v>
      </c>
      <c r="AR727" s="35" t="s">
        <v>192</v>
      </c>
      <c r="AS727" s="35">
        <v>4</v>
      </c>
      <c r="AT727" s="35">
        <v>4</v>
      </c>
      <c r="AU727" s="35" t="s">
        <v>379</v>
      </c>
      <c r="AY727" s="63"/>
      <c r="BD727" s="35">
        <f>11.2*1000</f>
        <v>11200</v>
      </c>
      <c r="BE727" s="35">
        <f>11.1*1000</f>
        <v>11100</v>
      </c>
      <c r="DO727" s="35">
        <v>230</v>
      </c>
      <c r="DP727" s="35">
        <v>140</v>
      </c>
      <c r="EJ727" s="12"/>
      <c r="EL727" s="15"/>
      <c r="FT727" s="35">
        <v>33</v>
      </c>
    </row>
    <row r="728" spans="1:176" s="35" customFormat="1" x14ac:dyDescent="0.25">
      <c r="A728" s="35">
        <v>33</v>
      </c>
      <c r="B728" s="35" t="s">
        <v>548</v>
      </c>
      <c r="C728" s="35" t="s">
        <v>549</v>
      </c>
      <c r="D728" s="35">
        <v>2016</v>
      </c>
      <c r="E728" s="35">
        <v>2013</v>
      </c>
      <c r="F728" s="35" t="s">
        <v>550</v>
      </c>
      <c r="G728" s="35" t="s">
        <v>359</v>
      </c>
      <c r="H728" s="35">
        <v>40.72</v>
      </c>
      <c r="I728" s="35">
        <v>-77.92</v>
      </c>
      <c r="J728" s="35">
        <v>350</v>
      </c>
      <c r="P728" s="54">
        <v>3</v>
      </c>
      <c r="Q728" s="54"/>
      <c r="R728" s="54" t="s">
        <v>554</v>
      </c>
      <c r="S728" s="54" t="s">
        <v>1553</v>
      </c>
      <c r="T728" s="54" t="s">
        <v>1553</v>
      </c>
      <c r="U728" s="54" t="s">
        <v>1553</v>
      </c>
      <c r="V728" s="54" t="s">
        <v>1553</v>
      </c>
      <c r="Z728" s="35" t="s">
        <v>531</v>
      </c>
      <c r="AD728" s="35" t="s">
        <v>1493</v>
      </c>
      <c r="AE728" s="35" t="s">
        <v>281</v>
      </c>
      <c r="AF728" s="152" t="s">
        <v>666</v>
      </c>
      <c r="AG728" s="35" t="s">
        <v>160</v>
      </c>
      <c r="AH728" s="154" t="s">
        <v>160</v>
      </c>
      <c r="AL728" s="35" t="s">
        <v>551</v>
      </c>
      <c r="AM728" s="35" t="s">
        <v>551</v>
      </c>
      <c r="AN728" s="35" t="s">
        <v>212</v>
      </c>
      <c r="AR728" s="35" t="s">
        <v>192</v>
      </c>
      <c r="AS728" s="35">
        <v>4</v>
      </c>
      <c r="AT728" s="35">
        <v>4</v>
      </c>
      <c r="AU728" s="35" t="s">
        <v>379</v>
      </c>
      <c r="AY728" s="63"/>
      <c r="DO728" s="35">
        <v>100</v>
      </c>
      <c r="DP728" s="35">
        <v>130</v>
      </c>
      <c r="EJ728" s="12"/>
      <c r="EL728" s="15"/>
      <c r="FT728" s="35">
        <v>33</v>
      </c>
    </row>
    <row r="729" spans="1:176" s="35" customFormat="1" x14ac:dyDescent="0.25">
      <c r="A729" s="35">
        <v>33</v>
      </c>
      <c r="B729" s="35" t="s">
        <v>548</v>
      </c>
      <c r="C729" s="35" t="s">
        <v>549</v>
      </c>
      <c r="D729" s="35">
        <v>2016</v>
      </c>
      <c r="E729" s="35">
        <v>2013</v>
      </c>
      <c r="F729" s="35" t="s">
        <v>550</v>
      </c>
      <c r="G729" s="35" t="s">
        <v>359</v>
      </c>
      <c r="H729" s="35">
        <v>40.72</v>
      </c>
      <c r="I729" s="35">
        <v>-77.92</v>
      </c>
      <c r="J729" s="35">
        <v>350</v>
      </c>
      <c r="P729" s="54">
        <v>3</v>
      </c>
      <c r="Q729" s="54"/>
      <c r="R729" s="54" t="s">
        <v>555</v>
      </c>
      <c r="S729" s="54" t="s">
        <v>1553</v>
      </c>
      <c r="T729" s="54" t="s">
        <v>1553</v>
      </c>
      <c r="U729" s="54" t="s">
        <v>1553</v>
      </c>
      <c r="V729" s="54" t="s">
        <v>1553</v>
      </c>
      <c r="Z729" s="35" t="s">
        <v>531</v>
      </c>
      <c r="AD729" s="35" t="s">
        <v>1493</v>
      </c>
      <c r="AE729" s="35" t="s">
        <v>281</v>
      </c>
      <c r="AF729" s="152" t="s">
        <v>666</v>
      </c>
      <c r="AG729" s="35" t="s">
        <v>160</v>
      </c>
      <c r="AH729" s="154" t="s">
        <v>160</v>
      </c>
      <c r="AL729" s="35" t="s">
        <v>551</v>
      </c>
      <c r="AM729" s="35" t="s">
        <v>551</v>
      </c>
      <c r="AN729" s="35" t="s">
        <v>212</v>
      </c>
      <c r="AR729" s="35" t="s">
        <v>192</v>
      </c>
      <c r="AS729" s="35">
        <v>4</v>
      </c>
      <c r="AT729" s="35">
        <v>4</v>
      </c>
      <c r="AU729" s="35" t="s">
        <v>379</v>
      </c>
      <c r="AY729" s="63"/>
      <c r="BD729" s="35">
        <f>12.4*1000</f>
        <v>12400</v>
      </c>
      <c r="BE729" s="35">
        <f>12.1*1000</f>
        <v>12100</v>
      </c>
      <c r="EJ729" s="12"/>
      <c r="EL729" s="15"/>
      <c r="FT729" s="35">
        <v>33</v>
      </c>
    </row>
    <row r="730" spans="1:176" s="35" customFormat="1" x14ac:dyDescent="0.25">
      <c r="A730" s="35">
        <v>33</v>
      </c>
      <c r="B730" s="35" t="s">
        <v>548</v>
      </c>
      <c r="C730" s="35" t="s">
        <v>549</v>
      </c>
      <c r="D730" s="35">
        <v>2016</v>
      </c>
      <c r="E730" s="35">
        <v>2014</v>
      </c>
      <c r="F730" s="35" t="s">
        <v>550</v>
      </c>
      <c r="G730" s="35" t="s">
        <v>359</v>
      </c>
      <c r="H730" s="35">
        <v>40.72</v>
      </c>
      <c r="I730" s="35">
        <v>-77.92</v>
      </c>
      <c r="J730" s="35">
        <v>350</v>
      </c>
      <c r="P730" s="54">
        <v>4</v>
      </c>
      <c r="Q730" s="54"/>
      <c r="R730" s="54" t="s">
        <v>552</v>
      </c>
      <c r="S730" s="54" t="s">
        <v>1553</v>
      </c>
      <c r="T730" s="54" t="s">
        <v>1553</v>
      </c>
      <c r="U730" s="54" t="s">
        <v>1553</v>
      </c>
      <c r="V730" s="54" t="s">
        <v>1553</v>
      </c>
      <c r="Z730" s="35" t="s">
        <v>531</v>
      </c>
      <c r="AD730" s="35" t="s">
        <v>1493</v>
      </c>
      <c r="AE730" s="35" t="s">
        <v>281</v>
      </c>
      <c r="AF730" s="152" t="s">
        <v>666</v>
      </c>
      <c r="AG730" s="35" t="s">
        <v>160</v>
      </c>
      <c r="AH730" s="154" t="s">
        <v>160</v>
      </c>
      <c r="AL730" s="35" t="s">
        <v>551</v>
      </c>
      <c r="AM730" s="35" t="s">
        <v>551</v>
      </c>
      <c r="AN730" s="35" t="s">
        <v>212</v>
      </c>
      <c r="AR730" s="35" t="s">
        <v>192</v>
      </c>
      <c r="AS730" s="35">
        <v>4</v>
      </c>
      <c r="AT730" s="35">
        <v>4</v>
      </c>
      <c r="AU730" s="35" t="s">
        <v>379</v>
      </c>
      <c r="AY730" s="63"/>
      <c r="DO730" s="35">
        <v>240</v>
      </c>
      <c r="DP730" s="35">
        <v>660</v>
      </c>
      <c r="EJ730" s="12"/>
      <c r="EL730" s="15"/>
      <c r="FT730" s="35">
        <v>33</v>
      </c>
    </row>
    <row r="731" spans="1:176" s="35" customFormat="1" x14ac:dyDescent="0.25">
      <c r="A731" s="35">
        <v>33</v>
      </c>
      <c r="B731" s="35" t="s">
        <v>548</v>
      </c>
      <c r="C731" s="35" t="s">
        <v>549</v>
      </c>
      <c r="D731" s="35">
        <v>2016</v>
      </c>
      <c r="E731" s="35">
        <v>2014</v>
      </c>
      <c r="F731" s="35" t="s">
        <v>550</v>
      </c>
      <c r="G731" s="35" t="s">
        <v>359</v>
      </c>
      <c r="H731" s="35">
        <v>40.72</v>
      </c>
      <c r="I731" s="35">
        <v>-77.92</v>
      </c>
      <c r="J731" s="35">
        <v>350</v>
      </c>
      <c r="P731" s="54">
        <v>4</v>
      </c>
      <c r="Q731" s="54"/>
      <c r="R731" s="54" t="s">
        <v>553</v>
      </c>
      <c r="S731" s="54" t="s">
        <v>1553</v>
      </c>
      <c r="T731" s="54" t="s">
        <v>1553</v>
      </c>
      <c r="U731" s="54" t="s">
        <v>1553</v>
      </c>
      <c r="V731" s="54" t="s">
        <v>1553</v>
      </c>
      <c r="Z731" s="35" t="s">
        <v>531</v>
      </c>
      <c r="AD731" s="35" t="s">
        <v>1493</v>
      </c>
      <c r="AE731" s="35" t="s">
        <v>281</v>
      </c>
      <c r="AF731" s="152" t="s">
        <v>666</v>
      </c>
      <c r="AG731" s="35" t="s">
        <v>160</v>
      </c>
      <c r="AH731" s="154" t="s">
        <v>160</v>
      </c>
      <c r="AL731" s="35" t="s">
        <v>551</v>
      </c>
      <c r="AM731" s="35" t="s">
        <v>551</v>
      </c>
      <c r="AN731" s="35" t="s">
        <v>212</v>
      </c>
      <c r="AR731" s="35" t="s">
        <v>192</v>
      </c>
      <c r="AS731" s="35">
        <v>4</v>
      </c>
      <c r="AT731" s="35">
        <v>4</v>
      </c>
      <c r="AU731" s="35" t="s">
        <v>379</v>
      </c>
      <c r="AY731" s="63"/>
      <c r="DO731" s="35">
        <v>30</v>
      </c>
      <c r="DP731" s="35">
        <v>250</v>
      </c>
      <c r="EJ731" s="12"/>
      <c r="EL731" s="15"/>
      <c r="FT731" s="35">
        <v>33</v>
      </c>
    </row>
    <row r="732" spans="1:176" s="35" customFormat="1" x14ac:dyDescent="0.25">
      <c r="A732" s="35">
        <v>33</v>
      </c>
      <c r="B732" s="35" t="s">
        <v>548</v>
      </c>
      <c r="C732" s="35" t="s">
        <v>549</v>
      </c>
      <c r="D732" s="35">
        <v>2016</v>
      </c>
      <c r="E732" s="35">
        <v>2014</v>
      </c>
      <c r="F732" s="35" t="s">
        <v>550</v>
      </c>
      <c r="G732" s="35" t="s">
        <v>359</v>
      </c>
      <c r="H732" s="35">
        <v>40.72</v>
      </c>
      <c r="I732" s="35">
        <v>-77.92</v>
      </c>
      <c r="J732" s="35">
        <v>350</v>
      </c>
      <c r="P732" s="54">
        <v>4</v>
      </c>
      <c r="Q732" s="54"/>
      <c r="R732" s="54" t="s">
        <v>554</v>
      </c>
      <c r="S732" s="54" t="s">
        <v>1553</v>
      </c>
      <c r="T732" s="54" t="s">
        <v>1553</v>
      </c>
      <c r="U732" s="54" t="s">
        <v>1553</v>
      </c>
      <c r="V732" s="54" t="s">
        <v>1553</v>
      </c>
      <c r="Z732" s="35" t="s">
        <v>531</v>
      </c>
      <c r="AD732" s="35" t="s">
        <v>1493</v>
      </c>
      <c r="AE732" s="35" t="s">
        <v>281</v>
      </c>
      <c r="AF732" s="152" t="s">
        <v>666</v>
      </c>
      <c r="AG732" s="35" t="s">
        <v>160</v>
      </c>
      <c r="AH732" s="154" t="s">
        <v>160</v>
      </c>
      <c r="AL732" s="35" t="s">
        <v>551</v>
      </c>
      <c r="AM732" s="35" t="s">
        <v>551</v>
      </c>
      <c r="AN732" s="35" t="s">
        <v>212</v>
      </c>
      <c r="AR732" s="35" t="s">
        <v>192</v>
      </c>
      <c r="AS732" s="35">
        <v>4</v>
      </c>
      <c r="AT732" s="35">
        <v>4</v>
      </c>
      <c r="AU732" s="35" t="s">
        <v>379</v>
      </c>
      <c r="AY732" s="63"/>
      <c r="DO732" s="35">
        <v>10</v>
      </c>
      <c r="DP732" s="35">
        <v>170</v>
      </c>
      <c r="EJ732" s="12"/>
      <c r="EL732" s="15"/>
      <c r="FT732" s="35">
        <v>33</v>
      </c>
    </row>
    <row r="733" spans="1:176" s="35" customFormat="1" x14ac:dyDescent="0.25">
      <c r="A733" s="35">
        <v>33</v>
      </c>
      <c r="B733" s="35" t="s">
        <v>548</v>
      </c>
      <c r="C733" s="35" t="s">
        <v>549</v>
      </c>
      <c r="D733" s="35">
        <v>2016</v>
      </c>
      <c r="E733" s="35">
        <v>2014</v>
      </c>
      <c r="F733" s="35" t="s">
        <v>550</v>
      </c>
      <c r="G733" s="35" t="s">
        <v>359</v>
      </c>
      <c r="H733" s="35">
        <v>40.72</v>
      </c>
      <c r="I733" s="35">
        <v>-77.92</v>
      </c>
      <c r="J733" s="35">
        <v>350</v>
      </c>
      <c r="P733" s="54">
        <v>4</v>
      </c>
      <c r="Q733" s="54"/>
      <c r="R733" s="54" t="s">
        <v>555</v>
      </c>
      <c r="S733" s="54" t="s">
        <v>1553</v>
      </c>
      <c r="T733" s="54" t="s">
        <v>1553</v>
      </c>
      <c r="U733" s="54" t="s">
        <v>1553</v>
      </c>
      <c r="V733" s="54" t="s">
        <v>1553</v>
      </c>
      <c r="Z733" s="35" t="s">
        <v>531</v>
      </c>
      <c r="AD733" s="35" t="s">
        <v>1493</v>
      </c>
      <c r="AE733" s="35" t="s">
        <v>281</v>
      </c>
      <c r="AF733" s="152" t="s">
        <v>666</v>
      </c>
      <c r="AG733" s="35" t="s">
        <v>160</v>
      </c>
      <c r="AH733" s="154" t="s">
        <v>160</v>
      </c>
      <c r="AL733" s="35" t="s">
        <v>551</v>
      </c>
      <c r="AM733" s="35" t="s">
        <v>551</v>
      </c>
      <c r="AN733" s="35" t="s">
        <v>212</v>
      </c>
      <c r="AR733" s="35" t="s">
        <v>192</v>
      </c>
      <c r="AS733" s="35">
        <v>4</v>
      </c>
      <c r="AT733" s="35">
        <v>4</v>
      </c>
      <c r="AU733" s="35" t="s">
        <v>379</v>
      </c>
      <c r="AY733" s="63"/>
      <c r="DO733" s="35">
        <v>10</v>
      </c>
      <c r="DP733" s="35">
        <v>70</v>
      </c>
      <c r="EJ733" s="12"/>
      <c r="EL733" s="15"/>
      <c r="FT733" s="35">
        <v>33</v>
      </c>
    </row>
    <row r="734" spans="1:176" s="38" customFormat="1" x14ac:dyDescent="0.25">
      <c r="A734" s="38">
        <v>34</v>
      </c>
      <c r="B734" s="38" t="s">
        <v>556</v>
      </c>
      <c r="C734" s="38" t="s">
        <v>557</v>
      </c>
      <c r="D734" s="38">
        <v>2004</v>
      </c>
      <c r="E734" s="38">
        <v>1989</v>
      </c>
      <c r="F734" s="38" t="s">
        <v>558</v>
      </c>
      <c r="G734" s="38" t="s">
        <v>559</v>
      </c>
      <c r="H734" s="38">
        <f>30+1/60</f>
        <v>30.016666666666666</v>
      </c>
      <c r="I734" s="38">
        <f>-85-32/60</f>
        <v>-85.533333333333331</v>
      </c>
      <c r="J734" s="38">
        <v>4.8</v>
      </c>
      <c r="P734" s="57">
        <v>4</v>
      </c>
      <c r="Q734" s="57"/>
      <c r="R734" s="57"/>
      <c r="S734" s="57" t="s">
        <v>1553</v>
      </c>
      <c r="T734" s="57" t="s">
        <v>1553</v>
      </c>
      <c r="U734" s="57" t="s">
        <v>1553</v>
      </c>
      <c r="V734" s="57" t="s">
        <v>1553</v>
      </c>
      <c r="X734" s="38">
        <v>66</v>
      </c>
      <c r="Y734" s="38">
        <v>22</v>
      </c>
      <c r="Z734" s="38" t="s">
        <v>531</v>
      </c>
      <c r="AD734" s="38" t="s">
        <v>1496</v>
      </c>
      <c r="AE734" s="38" t="s">
        <v>1707</v>
      </c>
      <c r="AF734" s="152" t="s">
        <v>1761</v>
      </c>
      <c r="AG734" s="38" t="s">
        <v>160</v>
      </c>
      <c r="AH734" s="155" t="s">
        <v>1802</v>
      </c>
      <c r="AI734" s="38" t="s">
        <v>501</v>
      </c>
      <c r="AJ734" s="38" t="s">
        <v>501</v>
      </c>
      <c r="AK734" s="38" t="s">
        <v>212</v>
      </c>
      <c r="AL734" s="38" t="s">
        <v>562</v>
      </c>
      <c r="AM734" s="38" t="s">
        <v>188</v>
      </c>
      <c r="AN734" s="38" t="s">
        <v>587</v>
      </c>
      <c r="AO734" s="38" t="s">
        <v>560</v>
      </c>
      <c r="AP734" s="38" t="s">
        <v>561</v>
      </c>
      <c r="AQ734" s="38" t="s">
        <v>587</v>
      </c>
      <c r="AR734" s="38" t="s">
        <v>192</v>
      </c>
      <c r="AY734" s="64"/>
      <c r="AZ734" s="38" t="s">
        <v>563</v>
      </c>
      <c r="BD734" s="38">
        <f>(11.1+8.1+11.6+8+9.9+8.3+7.3+10.7+10.2)/9*1000</f>
        <v>9466.6666666666661</v>
      </c>
      <c r="BE734" s="38">
        <f>(8.6+8.9+9.9)/3*1000</f>
        <v>9133.3333333333321</v>
      </c>
      <c r="DC734" s="38">
        <f>(17.8+9.6+6.6)/3</f>
        <v>11.333333333333334</v>
      </c>
      <c r="DD734" s="38">
        <f>(19.9+22.4+31.6+26.8+32.6+24.1+13.3+27.6+16.9)/9</f>
        <v>23.911111111111111</v>
      </c>
      <c r="DE734" s="38" t="s">
        <v>547</v>
      </c>
      <c r="EJ734" s="12"/>
      <c r="EL734" s="15"/>
      <c r="FR734" s="38" t="s">
        <v>547</v>
      </c>
      <c r="FT734" s="38">
        <v>34</v>
      </c>
    </row>
    <row r="735" spans="1:176" s="38" customFormat="1" x14ac:dyDescent="0.25">
      <c r="A735" s="38">
        <v>34</v>
      </c>
      <c r="B735" s="38" t="s">
        <v>556</v>
      </c>
      <c r="C735" s="38" t="s">
        <v>557</v>
      </c>
      <c r="D735" s="38">
        <v>2004</v>
      </c>
      <c r="E735" s="38">
        <v>1989</v>
      </c>
      <c r="F735" s="38" t="s">
        <v>558</v>
      </c>
      <c r="G735" s="38" t="s">
        <v>559</v>
      </c>
      <c r="H735" s="38">
        <f>30+1/60</f>
        <v>30.016666666666666</v>
      </c>
      <c r="I735" s="38">
        <f>-85-32/60</f>
        <v>-85.533333333333331</v>
      </c>
      <c r="J735" s="38">
        <v>4.8</v>
      </c>
      <c r="P735" s="57">
        <v>4</v>
      </c>
      <c r="Q735" s="57"/>
      <c r="R735" s="57"/>
      <c r="S735" s="57" t="s">
        <v>1553</v>
      </c>
      <c r="T735" s="57" t="s">
        <v>1553</v>
      </c>
      <c r="U735" s="57" t="s">
        <v>1553</v>
      </c>
      <c r="V735" s="57" t="s">
        <v>1553</v>
      </c>
      <c r="X735" s="38">
        <v>66</v>
      </c>
      <c r="Y735" s="38">
        <v>22</v>
      </c>
      <c r="Z735" s="38" t="s">
        <v>531</v>
      </c>
      <c r="AD735" s="38" t="s">
        <v>1496</v>
      </c>
      <c r="AE735" s="38" t="s">
        <v>1707</v>
      </c>
      <c r="AF735" s="152" t="s">
        <v>1761</v>
      </c>
      <c r="AG735" s="38" t="s">
        <v>160</v>
      </c>
      <c r="AH735" s="155" t="s">
        <v>1802</v>
      </c>
      <c r="AI735" s="38" t="s">
        <v>501</v>
      </c>
      <c r="AJ735" s="38" t="s">
        <v>501</v>
      </c>
      <c r="AK735" s="38" t="s">
        <v>212</v>
      </c>
      <c r="AL735" s="38" t="s">
        <v>562</v>
      </c>
      <c r="AM735" s="38" t="s">
        <v>188</v>
      </c>
      <c r="AN735" s="38" t="s">
        <v>587</v>
      </c>
      <c r="AO735" s="38" t="s">
        <v>560</v>
      </c>
      <c r="AP735" s="38" t="s">
        <v>561</v>
      </c>
      <c r="AQ735" s="38" t="s">
        <v>587</v>
      </c>
      <c r="AR735" s="38" t="s">
        <v>192</v>
      </c>
      <c r="AY735" s="64"/>
      <c r="AZ735" s="38" t="s">
        <v>564</v>
      </c>
      <c r="BD735" s="38">
        <f>(11.5+8.3+12.1+8.4+9.6+7.6+7.1+10.6+9.9)/9*1000</f>
        <v>9455.5555555555566</v>
      </c>
      <c r="BE735" s="38">
        <f>(8.5+8.6+10.1)/3*1000</f>
        <v>9066.6666666666679</v>
      </c>
      <c r="DC735" s="38">
        <f>(15.1+10.7+6.4)/3</f>
        <v>10.733333333333333</v>
      </c>
      <c r="DD735" s="38">
        <f>(20+25+33.5+29+34.5+22.5+15.6+30.1+17.1)/9</f>
        <v>25.255555555555553</v>
      </c>
      <c r="DE735" s="38" t="s">
        <v>547</v>
      </c>
      <c r="EJ735" s="12"/>
      <c r="EL735" s="15"/>
      <c r="FR735" s="38" t="s">
        <v>547</v>
      </c>
      <c r="FT735" s="38">
        <v>34</v>
      </c>
    </row>
    <row r="736" spans="1:176" s="38" customFormat="1" x14ac:dyDescent="0.25">
      <c r="A736" s="38">
        <v>34</v>
      </c>
      <c r="B736" s="38" t="s">
        <v>556</v>
      </c>
      <c r="C736" s="38" t="s">
        <v>557</v>
      </c>
      <c r="D736" s="38">
        <v>2004</v>
      </c>
      <c r="E736" s="38">
        <v>1989</v>
      </c>
      <c r="F736" s="38" t="s">
        <v>558</v>
      </c>
      <c r="G736" s="38" t="s">
        <v>559</v>
      </c>
      <c r="H736" s="38">
        <f>30+1/60</f>
        <v>30.016666666666666</v>
      </c>
      <c r="I736" s="38">
        <f>-85-32/60</f>
        <v>-85.533333333333331</v>
      </c>
      <c r="J736" s="38">
        <v>4.8</v>
      </c>
      <c r="P736" s="57">
        <v>4</v>
      </c>
      <c r="Q736" s="57"/>
      <c r="R736" s="57"/>
      <c r="S736" s="57" t="s">
        <v>1553</v>
      </c>
      <c r="T736" s="57" t="s">
        <v>1553</v>
      </c>
      <c r="U736" s="57" t="s">
        <v>1553</v>
      </c>
      <c r="V736" s="57" t="s">
        <v>1553</v>
      </c>
      <c r="X736" s="38">
        <v>66</v>
      </c>
      <c r="Y736" s="38">
        <v>22</v>
      </c>
      <c r="Z736" s="38" t="s">
        <v>531</v>
      </c>
      <c r="AD736" s="38" t="s">
        <v>1496</v>
      </c>
      <c r="AE736" s="38" t="s">
        <v>1707</v>
      </c>
      <c r="AF736" s="152" t="s">
        <v>1761</v>
      </c>
      <c r="AG736" s="38" t="s">
        <v>160</v>
      </c>
      <c r="AH736" s="155" t="s">
        <v>1802</v>
      </c>
      <c r="AI736" s="38" t="s">
        <v>501</v>
      </c>
      <c r="AJ736" s="38" t="s">
        <v>501</v>
      </c>
      <c r="AK736" s="38" t="s">
        <v>212</v>
      </c>
      <c r="AL736" s="38" t="s">
        <v>562</v>
      </c>
      <c r="AM736" s="38" t="s">
        <v>188</v>
      </c>
      <c r="AN736" s="38" t="s">
        <v>587</v>
      </c>
      <c r="AO736" s="38" t="s">
        <v>560</v>
      </c>
      <c r="AP736" s="38" t="s">
        <v>561</v>
      </c>
      <c r="AQ736" s="38" t="s">
        <v>587</v>
      </c>
      <c r="AR736" s="38" t="s">
        <v>192</v>
      </c>
      <c r="AY736" s="64"/>
      <c r="AZ736" s="38" t="s">
        <v>565</v>
      </c>
      <c r="BD736" s="38">
        <f>(11.3+8.5+12.1+7.7+8.8+7.7+7.9+10.1+10)/9*1000</f>
        <v>9344.4444444444453</v>
      </c>
      <c r="BE736" s="38">
        <f>(9.2+8.8+10.1)/3*1000</f>
        <v>9366.6666666666679</v>
      </c>
      <c r="DC736" s="38">
        <f>(15.9+10.3+6.9)/3</f>
        <v>11.033333333333333</v>
      </c>
      <c r="DD736" s="38">
        <f>(20.3+23.4+30.5+27.4+30.1+20.7+15.7+28+15.3)/9</f>
        <v>23.488888888888887</v>
      </c>
      <c r="DE736" s="38" t="s">
        <v>547</v>
      </c>
      <c r="EJ736" s="12"/>
      <c r="EL736" s="15"/>
      <c r="FR736" s="38" t="s">
        <v>547</v>
      </c>
      <c r="FT736" s="38">
        <v>34</v>
      </c>
    </row>
    <row r="737" spans="1:176" s="26" customFormat="1" x14ac:dyDescent="0.25">
      <c r="A737" s="26">
        <v>35</v>
      </c>
      <c r="B737" s="26" t="s">
        <v>566</v>
      </c>
      <c r="C737" s="26" t="s">
        <v>567</v>
      </c>
      <c r="D737" s="26">
        <v>2011</v>
      </c>
      <c r="E737" s="26">
        <v>2006</v>
      </c>
      <c r="F737" s="26" t="s">
        <v>155</v>
      </c>
      <c r="G737" s="26" t="s">
        <v>568</v>
      </c>
      <c r="H737" s="26">
        <f t="shared" ref="H737:H744" si="201">38+32/60</f>
        <v>38.533333333333331</v>
      </c>
      <c r="I737" s="26">
        <f t="shared" ref="I737:I744" si="202">-121-52/60</f>
        <v>-121.86666666666666</v>
      </c>
      <c r="J737" s="26">
        <v>27.1</v>
      </c>
      <c r="O737" s="26" t="s">
        <v>569</v>
      </c>
      <c r="P737" s="52">
        <v>1</v>
      </c>
      <c r="Q737" s="52"/>
      <c r="R737" s="52" t="s">
        <v>442</v>
      </c>
      <c r="S737" s="52" t="s">
        <v>1558</v>
      </c>
      <c r="T737" s="52" t="s">
        <v>1558</v>
      </c>
      <c r="U737" s="52" t="s">
        <v>1558</v>
      </c>
      <c r="V737" s="52" t="s">
        <v>1905</v>
      </c>
      <c r="Z737" s="26" t="s">
        <v>531</v>
      </c>
      <c r="AD737" s="26" t="s">
        <v>1494</v>
      </c>
      <c r="AE737" s="26" t="s">
        <v>281</v>
      </c>
      <c r="AF737" s="152" t="s">
        <v>666</v>
      </c>
      <c r="AG737" s="26" t="s">
        <v>280</v>
      </c>
      <c r="AH737" s="154" t="s">
        <v>1796</v>
      </c>
      <c r="AI737" s="26" t="s">
        <v>1316</v>
      </c>
      <c r="AJ737" s="26" t="s">
        <v>1316</v>
      </c>
      <c r="AK737" s="26" t="s">
        <v>212</v>
      </c>
      <c r="AL737" s="26" t="s">
        <v>572</v>
      </c>
      <c r="AM737" s="26" t="s">
        <v>523</v>
      </c>
      <c r="AN737" s="26" t="s">
        <v>587</v>
      </c>
      <c r="AO737" s="26" t="s">
        <v>571</v>
      </c>
      <c r="AP737" s="26" t="s">
        <v>571</v>
      </c>
      <c r="AQ737" s="26" t="s">
        <v>587</v>
      </c>
      <c r="AR737" s="26" t="s">
        <v>192</v>
      </c>
      <c r="AS737" s="26">
        <v>3</v>
      </c>
      <c r="AT737" s="26">
        <v>3</v>
      </c>
      <c r="AU737" s="26" t="s">
        <v>570</v>
      </c>
      <c r="AY737" s="63"/>
      <c r="EG737" s="26">
        <f>(5.99+29+17.85+7)/4</f>
        <v>14.96</v>
      </c>
      <c r="EH737" s="26">
        <f>(5.5+25.83+16.22+9.47)/4</f>
        <v>14.254999999999999</v>
      </c>
      <c r="EI737" s="26" t="s">
        <v>1839</v>
      </c>
      <c r="EY737" s="26">
        <f>326*0.61/29</f>
        <v>6.8572413793103442</v>
      </c>
      <c r="EZ737" s="26">
        <f>178*0.61/29</f>
        <v>3.7441379310344827</v>
      </c>
      <c r="FA737" s="26" t="s">
        <v>573</v>
      </c>
      <c r="FR737" s="26" t="s">
        <v>819</v>
      </c>
      <c r="FT737" s="26">
        <v>35</v>
      </c>
    </row>
    <row r="738" spans="1:176" s="26" customFormat="1" x14ac:dyDescent="0.25">
      <c r="A738" s="26">
        <v>35</v>
      </c>
      <c r="B738" s="26" t="s">
        <v>566</v>
      </c>
      <c r="C738" s="26" t="s">
        <v>567</v>
      </c>
      <c r="D738" s="26">
        <v>2011</v>
      </c>
      <c r="E738" s="26">
        <v>2006</v>
      </c>
      <c r="F738" s="26" t="s">
        <v>155</v>
      </c>
      <c r="G738" s="26" t="s">
        <v>568</v>
      </c>
      <c r="H738" s="26">
        <f t="shared" si="201"/>
        <v>38.533333333333331</v>
      </c>
      <c r="I738" s="26">
        <f t="shared" si="202"/>
        <v>-121.86666666666666</v>
      </c>
      <c r="J738" s="26">
        <v>27.1</v>
      </c>
      <c r="O738" s="26" t="s">
        <v>569</v>
      </c>
      <c r="P738" s="52">
        <v>1</v>
      </c>
      <c r="Q738" s="52"/>
      <c r="R738" s="52" t="s">
        <v>575</v>
      </c>
      <c r="S738" s="52" t="s">
        <v>1558</v>
      </c>
      <c r="T738" s="52" t="s">
        <v>1558</v>
      </c>
      <c r="U738" s="52" t="s">
        <v>1558</v>
      </c>
      <c r="V738" s="52" t="s">
        <v>1905</v>
      </c>
      <c r="Z738" s="26" t="s">
        <v>531</v>
      </c>
      <c r="AD738" s="26" t="s">
        <v>1494</v>
      </c>
      <c r="AE738" s="26" t="s">
        <v>281</v>
      </c>
      <c r="AF738" s="152" t="s">
        <v>666</v>
      </c>
      <c r="AG738" s="26" t="s">
        <v>280</v>
      </c>
      <c r="AH738" s="154" t="s">
        <v>1796</v>
      </c>
      <c r="AI738" s="26" t="s">
        <v>1316</v>
      </c>
      <c r="AJ738" s="26" t="s">
        <v>1316</v>
      </c>
      <c r="AK738" s="26" t="s">
        <v>212</v>
      </c>
      <c r="AL738" s="26" t="s">
        <v>572</v>
      </c>
      <c r="AM738" s="26" t="s">
        <v>523</v>
      </c>
      <c r="AN738" s="26" t="s">
        <v>587</v>
      </c>
      <c r="AO738" s="26" t="s">
        <v>571</v>
      </c>
      <c r="AP738" s="26" t="s">
        <v>571</v>
      </c>
      <c r="AQ738" s="26" t="s">
        <v>587</v>
      </c>
      <c r="AR738" s="26" t="s">
        <v>192</v>
      </c>
      <c r="AS738" s="26">
        <v>3</v>
      </c>
      <c r="AT738" s="26">
        <v>3</v>
      </c>
      <c r="AU738" s="26" t="s">
        <v>570</v>
      </c>
      <c r="AY738" s="63"/>
      <c r="EG738" s="26">
        <f>(5.99+29+17.85+7)/4</f>
        <v>14.96</v>
      </c>
      <c r="EH738" s="26">
        <f>(6.07+26.97+16.55+9.63)/4</f>
        <v>14.805000000000001</v>
      </c>
      <c r="EI738" s="26" t="s">
        <v>1839</v>
      </c>
      <c r="EY738" s="26">
        <f>237*0.61/69</f>
        <v>2.0952173913043479</v>
      </c>
      <c r="EZ738" s="26">
        <f>328*0.61/69</f>
        <v>2.899710144927536</v>
      </c>
      <c r="FA738" s="26" t="s">
        <v>573</v>
      </c>
      <c r="FR738" s="26" t="s">
        <v>819</v>
      </c>
      <c r="FT738" s="26">
        <v>35</v>
      </c>
    </row>
    <row r="739" spans="1:176" s="26" customFormat="1" x14ac:dyDescent="0.25">
      <c r="A739" s="26">
        <v>35</v>
      </c>
      <c r="B739" s="26" t="s">
        <v>566</v>
      </c>
      <c r="C739" s="26" t="s">
        <v>567</v>
      </c>
      <c r="D739" s="26">
        <v>2011</v>
      </c>
      <c r="E739" s="26">
        <v>2006</v>
      </c>
      <c r="F739" s="26" t="s">
        <v>155</v>
      </c>
      <c r="G739" s="26" t="s">
        <v>568</v>
      </c>
      <c r="H739" s="26">
        <f t="shared" si="201"/>
        <v>38.533333333333331</v>
      </c>
      <c r="I739" s="26">
        <f t="shared" si="202"/>
        <v>-121.86666666666666</v>
      </c>
      <c r="J739" s="26">
        <v>27.1</v>
      </c>
      <c r="O739" s="26" t="s">
        <v>569</v>
      </c>
      <c r="P739" s="52">
        <v>1</v>
      </c>
      <c r="Q739" s="52"/>
      <c r="R739" s="52" t="s">
        <v>576</v>
      </c>
      <c r="S739" s="52" t="s">
        <v>1558</v>
      </c>
      <c r="T739" s="52" t="s">
        <v>1558</v>
      </c>
      <c r="U739" s="52" t="s">
        <v>1558</v>
      </c>
      <c r="V739" s="52" t="s">
        <v>1905</v>
      </c>
      <c r="Z739" s="26" t="s">
        <v>531</v>
      </c>
      <c r="AD739" s="26" t="s">
        <v>1494</v>
      </c>
      <c r="AE739" s="26" t="s">
        <v>281</v>
      </c>
      <c r="AF739" s="152" t="s">
        <v>666</v>
      </c>
      <c r="AG739" s="26" t="s">
        <v>280</v>
      </c>
      <c r="AH739" s="154" t="s">
        <v>1796</v>
      </c>
      <c r="AI739" s="26" t="s">
        <v>1316</v>
      </c>
      <c r="AJ739" s="26" t="s">
        <v>1316</v>
      </c>
      <c r="AK739" s="26" t="s">
        <v>212</v>
      </c>
      <c r="AL739" s="26" t="s">
        <v>572</v>
      </c>
      <c r="AM739" s="26" t="s">
        <v>523</v>
      </c>
      <c r="AN739" s="26" t="s">
        <v>587</v>
      </c>
      <c r="AO739" s="26" t="s">
        <v>571</v>
      </c>
      <c r="AP739" s="26" t="s">
        <v>571</v>
      </c>
      <c r="AQ739" s="26" t="s">
        <v>587</v>
      </c>
      <c r="AR739" s="26" t="s">
        <v>192</v>
      </c>
      <c r="AS739" s="26">
        <v>3</v>
      </c>
      <c r="AT739" s="26">
        <v>3</v>
      </c>
      <c r="AU739" s="26" t="s">
        <v>570</v>
      </c>
      <c r="AY739" s="63"/>
      <c r="EG739" s="26">
        <f>(6.64+26.81+18.02+6.37)/4</f>
        <v>14.459999999999999</v>
      </c>
      <c r="EH739" s="26">
        <f>(6.64+25.18+17.86+6.13)/4</f>
        <v>13.952500000000001</v>
      </c>
      <c r="EI739" s="26" t="s">
        <v>1840</v>
      </c>
      <c r="EY739" s="26">
        <f>278*0.61/100</f>
        <v>1.6957999999999998</v>
      </c>
      <c r="EZ739" s="26">
        <f>354*0.61/100</f>
        <v>2.1593999999999998</v>
      </c>
      <c r="FA739" s="26" t="s">
        <v>573</v>
      </c>
      <c r="FR739" s="26" t="s">
        <v>819</v>
      </c>
      <c r="FT739" s="26">
        <v>35</v>
      </c>
    </row>
    <row r="740" spans="1:176" s="26" customFormat="1" x14ac:dyDescent="0.25">
      <c r="A740" s="26">
        <v>35</v>
      </c>
      <c r="B740" s="26" t="s">
        <v>566</v>
      </c>
      <c r="C740" s="26" t="s">
        <v>567</v>
      </c>
      <c r="D740" s="26">
        <v>2011</v>
      </c>
      <c r="E740" s="26">
        <v>2006</v>
      </c>
      <c r="F740" s="26" t="s">
        <v>155</v>
      </c>
      <c r="G740" s="26" t="s">
        <v>568</v>
      </c>
      <c r="H740" s="26">
        <f t="shared" si="201"/>
        <v>38.533333333333331</v>
      </c>
      <c r="I740" s="26">
        <f t="shared" si="202"/>
        <v>-121.86666666666666</v>
      </c>
      <c r="J740" s="26">
        <v>27.1</v>
      </c>
      <c r="O740" s="26" t="s">
        <v>569</v>
      </c>
      <c r="P740" s="52">
        <v>1</v>
      </c>
      <c r="Q740" s="52"/>
      <c r="R740" s="52" t="s">
        <v>577</v>
      </c>
      <c r="S740" s="52" t="s">
        <v>1558</v>
      </c>
      <c r="T740" s="52" t="s">
        <v>1558</v>
      </c>
      <c r="U740" s="52" t="s">
        <v>1558</v>
      </c>
      <c r="V740" s="52" t="s">
        <v>1905</v>
      </c>
      <c r="Z740" s="26" t="s">
        <v>531</v>
      </c>
      <c r="AD740" s="26" t="s">
        <v>1494</v>
      </c>
      <c r="AE740" s="26" t="s">
        <v>281</v>
      </c>
      <c r="AF740" s="152" t="s">
        <v>666</v>
      </c>
      <c r="AG740" s="26" t="s">
        <v>280</v>
      </c>
      <c r="AH740" s="154" t="s">
        <v>1796</v>
      </c>
      <c r="AI740" s="26" t="s">
        <v>1316</v>
      </c>
      <c r="AJ740" s="26" t="s">
        <v>1316</v>
      </c>
      <c r="AK740" s="26" t="s">
        <v>212</v>
      </c>
      <c r="AL740" s="26" t="s">
        <v>572</v>
      </c>
      <c r="AM740" s="26" t="s">
        <v>523</v>
      </c>
      <c r="AN740" s="26" t="s">
        <v>587</v>
      </c>
      <c r="AO740" s="26" t="s">
        <v>571</v>
      </c>
      <c r="AP740" s="26" t="s">
        <v>571</v>
      </c>
      <c r="AQ740" s="26" t="s">
        <v>587</v>
      </c>
      <c r="AR740" s="26" t="s">
        <v>192</v>
      </c>
      <c r="AS740" s="26">
        <v>3</v>
      </c>
      <c r="AT740" s="26">
        <v>3</v>
      </c>
      <c r="AU740" s="26" t="s">
        <v>570</v>
      </c>
      <c r="AY740" s="63"/>
      <c r="EG740" s="26">
        <f>(6.64+26.81+18.02+6.37)/4</f>
        <v>14.459999999999999</v>
      </c>
      <c r="EH740" s="26">
        <f>(6.4+25.51+18.91+6.94)/4</f>
        <v>14.440000000000001</v>
      </c>
      <c r="EI740" s="26" t="s">
        <v>1840</v>
      </c>
      <c r="EY740" s="26">
        <f>154*0.61/134</f>
        <v>0.70104477611940297</v>
      </c>
      <c r="EZ740" s="26">
        <f>238*0.61/134</f>
        <v>1.0834328358208956</v>
      </c>
      <c r="FA740" s="26" t="s">
        <v>573</v>
      </c>
      <c r="FR740" s="26" t="s">
        <v>819</v>
      </c>
      <c r="FT740" s="26">
        <v>35</v>
      </c>
    </row>
    <row r="741" spans="1:176" s="35" customFormat="1" x14ac:dyDescent="0.25">
      <c r="A741" s="35">
        <v>35</v>
      </c>
      <c r="B741" s="35" t="s">
        <v>566</v>
      </c>
      <c r="C741" s="35" t="s">
        <v>567</v>
      </c>
      <c r="D741" s="35">
        <v>2011</v>
      </c>
      <c r="E741" s="35">
        <v>2006</v>
      </c>
      <c r="F741" s="35" t="s">
        <v>155</v>
      </c>
      <c r="G741" s="35" t="s">
        <v>568</v>
      </c>
      <c r="H741" s="35">
        <f t="shared" si="201"/>
        <v>38.533333333333331</v>
      </c>
      <c r="I741" s="35">
        <f t="shared" si="202"/>
        <v>-121.86666666666666</v>
      </c>
      <c r="J741" s="35">
        <v>27.1</v>
      </c>
      <c r="O741" s="35" t="s">
        <v>569</v>
      </c>
      <c r="P741" s="54">
        <v>1</v>
      </c>
      <c r="Q741" s="54"/>
      <c r="R741" s="54" t="s">
        <v>442</v>
      </c>
      <c r="S741" s="54" t="s">
        <v>1558</v>
      </c>
      <c r="T741" s="54" t="s">
        <v>1558</v>
      </c>
      <c r="U741" s="54" t="s">
        <v>1558</v>
      </c>
      <c r="V741" s="54" t="s">
        <v>1905</v>
      </c>
      <c r="Z741" s="35" t="s">
        <v>531</v>
      </c>
      <c r="AD741" s="35" t="s">
        <v>1494</v>
      </c>
      <c r="AE741" s="35" t="s">
        <v>281</v>
      </c>
      <c r="AF741" s="152" t="s">
        <v>666</v>
      </c>
      <c r="AG741" s="35" t="s">
        <v>280</v>
      </c>
      <c r="AH741" s="154" t="s">
        <v>1796</v>
      </c>
      <c r="AI741" s="35" t="s">
        <v>1316</v>
      </c>
      <c r="AJ741" s="35" t="s">
        <v>1316</v>
      </c>
      <c r="AK741" s="35" t="s">
        <v>212</v>
      </c>
      <c r="AL741" s="35" t="s">
        <v>572</v>
      </c>
      <c r="AM741" s="35" t="s">
        <v>523</v>
      </c>
      <c r="AN741" s="35" t="s">
        <v>587</v>
      </c>
      <c r="AO741" s="35" t="s">
        <v>571</v>
      </c>
      <c r="AP741" s="35" t="s">
        <v>574</v>
      </c>
      <c r="AQ741" s="35" t="s">
        <v>587</v>
      </c>
      <c r="AR741" s="35" t="s">
        <v>192</v>
      </c>
      <c r="AS741" s="35">
        <v>3</v>
      </c>
      <c r="AT741" s="35">
        <v>3</v>
      </c>
      <c r="AU741" s="35" t="s">
        <v>570</v>
      </c>
      <c r="AY741" s="63"/>
      <c r="EJ741" s="12"/>
      <c r="EL741" s="15"/>
      <c r="EY741" s="35">
        <f>326*0.61/29</f>
        <v>6.8572413793103442</v>
      </c>
      <c r="EZ741" s="35">
        <f>194*0.61/29</f>
        <v>4.0806896551724137</v>
      </c>
      <c r="FA741" s="35" t="s">
        <v>573</v>
      </c>
      <c r="FR741" s="35" t="s">
        <v>819</v>
      </c>
      <c r="FT741" s="35">
        <v>35</v>
      </c>
    </row>
    <row r="742" spans="1:176" s="35" customFormat="1" x14ac:dyDescent="0.25">
      <c r="A742" s="35">
        <v>35</v>
      </c>
      <c r="B742" s="35" t="s">
        <v>566</v>
      </c>
      <c r="C742" s="35" t="s">
        <v>567</v>
      </c>
      <c r="D742" s="35">
        <v>2011</v>
      </c>
      <c r="E742" s="35">
        <v>2006</v>
      </c>
      <c r="F742" s="35" t="s">
        <v>155</v>
      </c>
      <c r="G742" s="35" t="s">
        <v>568</v>
      </c>
      <c r="H742" s="35">
        <f t="shared" si="201"/>
        <v>38.533333333333331</v>
      </c>
      <c r="I742" s="35">
        <f t="shared" si="202"/>
        <v>-121.86666666666666</v>
      </c>
      <c r="J742" s="35">
        <v>27.1</v>
      </c>
      <c r="O742" s="35" t="s">
        <v>569</v>
      </c>
      <c r="P742" s="54">
        <v>1</v>
      </c>
      <c r="Q742" s="54"/>
      <c r="R742" s="54" t="s">
        <v>575</v>
      </c>
      <c r="S742" s="54" t="s">
        <v>1558</v>
      </c>
      <c r="T742" s="54" t="s">
        <v>1558</v>
      </c>
      <c r="U742" s="54" t="s">
        <v>1558</v>
      </c>
      <c r="V742" s="54" t="s">
        <v>1905</v>
      </c>
      <c r="Z742" s="35" t="s">
        <v>531</v>
      </c>
      <c r="AD742" s="35" t="s">
        <v>1494</v>
      </c>
      <c r="AE742" s="35" t="s">
        <v>281</v>
      </c>
      <c r="AF742" s="152" t="s">
        <v>666</v>
      </c>
      <c r="AG742" s="35" t="s">
        <v>280</v>
      </c>
      <c r="AH742" s="154" t="s">
        <v>1796</v>
      </c>
      <c r="AI742" s="35" t="s">
        <v>1316</v>
      </c>
      <c r="AJ742" s="35" t="s">
        <v>1316</v>
      </c>
      <c r="AK742" s="35" t="s">
        <v>212</v>
      </c>
      <c r="AL742" s="35" t="s">
        <v>572</v>
      </c>
      <c r="AM742" s="35" t="s">
        <v>523</v>
      </c>
      <c r="AN742" s="35" t="s">
        <v>587</v>
      </c>
      <c r="AO742" s="35" t="s">
        <v>571</v>
      </c>
      <c r="AP742" s="35" t="s">
        <v>574</v>
      </c>
      <c r="AQ742" s="35" t="s">
        <v>587</v>
      </c>
      <c r="AR742" s="35" t="s">
        <v>192</v>
      </c>
      <c r="AS742" s="35">
        <v>3</v>
      </c>
      <c r="AT742" s="35">
        <v>3</v>
      </c>
      <c r="AU742" s="35" t="s">
        <v>570</v>
      </c>
      <c r="AY742" s="63"/>
      <c r="EJ742" s="12"/>
      <c r="EL742" s="15"/>
      <c r="EY742" s="35">
        <f>237*0.61/69</f>
        <v>2.0952173913043479</v>
      </c>
      <c r="EZ742" s="35">
        <f>163*0.61/69</f>
        <v>1.441014492753623</v>
      </c>
      <c r="FA742" s="35" t="s">
        <v>573</v>
      </c>
      <c r="FR742" s="35" t="s">
        <v>819</v>
      </c>
      <c r="FT742" s="35">
        <v>35</v>
      </c>
    </row>
    <row r="743" spans="1:176" s="35" customFormat="1" x14ac:dyDescent="0.25">
      <c r="A743" s="35">
        <v>35</v>
      </c>
      <c r="B743" s="35" t="s">
        <v>566</v>
      </c>
      <c r="C743" s="35" t="s">
        <v>567</v>
      </c>
      <c r="D743" s="35">
        <v>2011</v>
      </c>
      <c r="E743" s="35">
        <v>2006</v>
      </c>
      <c r="F743" s="35" t="s">
        <v>155</v>
      </c>
      <c r="G743" s="35" t="s">
        <v>568</v>
      </c>
      <c r="H743" s="35">
        <f t="shared" si="201"/>
        <v>38.533333333333331</v>
      </c>
      <c r="I743" s="35">
        <f t="shared" si="202"/>
        <v>-121.86666666666666</v>
      </c>
      <c r="J743" s="35">
        <v>27.1</v>
      </c>
      <c r="O743" s="35" t="s">
        <v>569</v>
      </c>
      <c r="P743" s="54">
        <v>1</v>
      </c>
      <c r="Q743" s="54"/>
      <c r="R743" s="54" t="s">
        <v>576</v>
      </c>
      <c r="S743" s="54" t="s">
        <v>1558</v>
      </c>
      <c r="T743" s="54" t="s">
        <v>1558</v>
      </c>
      <c r="U743" s="54" t="s">
        <v>1558</v>
      </c>
      <c r="V743" s="54" t="s">
        <v>1905</v>
      </c>
      <c r="Z743" s="35" t="s">
        <v>531</v>
      </c>
      <c r="AD743" s="35" t="s">
        <v>1494</v>
      </c>
      <c r="AE743" s="35" t="s">
        <v>281</v>
      </c>
      <c r="AF743" s="152" t="s">
        <v>666</v>
      </c>
      <c r="AG743" s="35" t="s">
        <v>280</v>
      </c>
      <c r="AH743" s="154" t="s">
        <v>1796</v>
      </c>
      <c r="AI743" s="35" t="s">
        <v>1316</v>
      </c>
      <c r="AJ743" s="35" t="s">
        <v>1316</v>
      </c>
      <c r="AK743" s="35" t="s">
        <v>212</v>
      </c>
      <c r="AL743" s="35" t="s">
        <v>572</v>
      </c>
      <c r="AM743" s="35" t="s">
        <v>523</v>
      </c>
      <c r="AN743" s="35" t="s">
        <v>587</v>
      </c>
      <c r="AO743" s="35" t="s">
        <v>571</v>
      </c>
      <c r="AP743" s="35" t="s">
        <v>574</v>
      </c>
      <c r="AQ743" s="35" t="s">
        <v>587</v>
      </c>
      <c r="AR743" s="35" t="s">
        <v>192</v>
      </c>
      <c r="AS743" s="35">
        <v>3</v>
      </c>
      <c r="AT743" s="35">
        <v>3</v>
      </c>
      <c r="AU743" s="35" t="s">
        <v>570</v>
      </c>
      <c r="AY743" s="63"/>
      <c r="EJ743" s="12"/>
      <c r="EL743" s="15"/>
      <c r="FR743" s="35" t="s">
        <v>819</v>
      </c>
      <c r="FT743" s="35">
        <v>35</v>
      </c>
    </row>
    <row r="744" spans="1:176" s="35" customFormat="1" x14ac:dyDescent="0.25">
      <c r="A744" s="35">
        <v>35</v>
      </c>
      <c r="B744" s="35" t="s">
        <v>566</v>
      </c>
      <c r="C744" s="35" t="s">
        <v>567</v>
      </c>
      <c r="D744" s="35">
        <v>2011</v>
      </c>
      <c r="E744" s="35">
        <v>2006</v>
      </c>
      <c r="F744" s="35" t="s">
        <v>155</v>
      </c>
      <c r="G744" s="35" t="s">
        <v>568</v>
      </c>
      <c r="H744" s="35">
        <f t="shared" si="201"/>
        <v>38.533333333333331</v>
      </c>
      <c r="I744" s="35">
        <f t="shared" si="202"/>
        <v>-121.86666666666666</v>
      </c>
      <c r="J744" s="35">
        <v>27.1</v>
      </c>
      <c r="O744" s="35" t="s">
        <v>569</v>
      </c>
      <c r="P744" s="54">
        <v>1</v>
      </c>
      <c r="Q744" s="54"/>
      <c r="R744" s="54" t="s">
        <v>577</v>
      </c>
      <c r="S744" s="54" t="s">
        <v>1558</v>
      </c>
      <c r="T744" s="54" t="s">
        <v>1558</v>
      </c>
      <c r="U744" s="54" t="s">
        <v>1558</v>
      </c>
      <c r="V744" s="54" t="s">
        <v>1905</v>
      </c>
      <c r="Z744" s="35" t="s">
        <v>531</v>
      </c>
      <c r="AD744" s="35" t="s">
        <v>1494</v>
      </c>
      <c r="AE744" s="35" t="s">
        <v>281</v>
      </c>
      <c r="AF744" s="152" t="s">
        <v>666</v>
      </c>
      <c r="AG744" s="35" t="s">
        <v>280</v>
      </c>
      <c r="AH744" s="154" t="s">
        <v>1796</v>
      </c>
      <c r="AI744" s="35" t="s">
        <v>1316</v>
      </c>
      <c r="AJ744" s="35" t="s">
        <v>1316</v>
      </c>
      <c r="AK744" s="35" t="s">
        <v>212</v>
      </c>
      <c r="AL744" s="35" t="s">
        <v>572</v>
      </c>
      <c r="AM744" s="35" t="s">
        <v>523</v>
      </c>
      <c r="AN744" s="35" t="s">
        <v>587</v>
      </c>
      <c r="AO744" s="35" t="s">
        <v>571</v>
      </c>
      <c r="AP744" s="35" t="s">
        <v>574</v>
      </c>
      <c r="AQ744" s="35" t="s">
        <v>587</v>
      </c>
      <c r="AR744" s="35" t="s">
        <v>192</v>
      </c>
      <c r="AS744" s="35">
        <v>3</v>
      </c>
      <c r="AT744" s="35">
        <v>3</v>
      </c>
      <c r="AU744" s="35" t="s">
        <v>570</v>
      </c>
      <c r="AY744" s="63"/>
      <c r="EJ744" s="12"/>
      <c r="EL744" s="15"/>
      <c r="EY744" s="35">
        <f>154*0.61/134</f>
        <v>0.70104477611940297</v>
      </c>
      <c r="EZ744" s="35">
        <f>401*0.61/134</f>
        <v>1.8254477611940298</v>
      </c>
      <c r="FA744" s="35" t="s">
        <v>573</v>
      </c>
      <c r="FR744" s="35" t="s">
        <v>819</v>
      </c>
      <c r="FT744" s="35">
        <v>35</v>
      </c>
    </row>
    <row r="745" spans="1:176" s="5" customFormat="1" x14ac:dyDescent="0.25">
      <c r="A745" s="5">
        <v>36</v>
      </c>
      <c r="B745" s="5" t="s">
        <v>578</v>
      </c>
      <c r="C745" s="5" t="s">
        <v>579</v>
      </c>
      <c r="D745" s="5">
        <v>1992</v>
      </c>
      <c r="E745" s="5">
        <v>1982</v>
      </c>
      <c r="F745" s="5" t="s">
        <v>580</v>
      </c>
      <c r="G745" s="5" t="s">
        <v>581</v>
      </c>
      <c r="H745" s="5">
        <f t="shared" ref="H745:H750" si="203">33+54/60</f>
        <v>33.9</v>
      </c>
      <c r="I745" s="5">
        <f t="shared" ref="I745:I750" si="204">-83-24/60</f>
        <v>-83.4</v>
      </c>
      <c r="J745" s="5">
        <v>185.5</v>
      </c>
      <c r="P745" s="62">
        <v>3</v>
      </c>
      <c r="Q745" s="62"/>
      <c r="R745" s="62"/>
      <c r="S745" s="62" t="s">
        <v>1563</v>
      </c>
      <c r="T745" s="62" t="s">
        <v>1563</v>
      </c>
      <c r="U745" s="62" t="s">
        <v>1563</v>
      </c>
      <c r="V745" s="62" t="s">
        <v>1905</v>
      </c>
      <c r="Z745" s="5" t="s">
        <v>894</v>
      </c>
      <c r="AD745" s="5" t="s">
        <v>1495</v>
      </c>
      <c r="AE745" s="5" t="s">
        <v>1701</v>
      </c>
      <c r="AF745" s="152" t="s">
        <v>666</v>
      </c>
      <c r="AG745" s="5" t="s">
        <v>258</v>
      </c>
      <c r="AH745" s="155" t="s">
        <v>258</v>
      </c>
      <c r="AL745" s="5" t="s">
        <v>572</v>
      </c>
      <c r="AM745" s="5" t="s">
        <v>582</v>
      </c>
      <c r="AN745" s="5" t="s">
        <v>587</v>
      </c>
      <c r="AO745" s="5" t="s">
        <v>583</v>
      </c>
      <c r="AP745" s="5" t="s">
        <v>382</v>
      </c>
      <c r="AQ745" s="5" t="s">
        <v>587</v>
      </c>
      <c r="AR745" s="5" t="s">
        <v>147</v>
      </c>
      <c r="AS745" s="5">
        <v>3</v>
      </c>
      <c r="AT745" s="5">
        <v>3</v>
      </c>
      <c r="AU745" s="5" t="s">
        <v>379</v>
      </c>
      <c r="AY745" s="64"/>
      <c r="AZ745" s="5" t="s">
        <v>589</v>
      </c>
      <c r="BD745" s="5">
        <f>13.1*1000/5</f>
        <v>2620</v>
      </c>
      <c r="BE745" s="5">
        <f>15.3*1000/5</f>
        <v>3060</v>
      </c>
      <c r="BF745" s="5" t="s">
        <v>595</v>
      </c>
      <c r="BJ745" s="5">
        <v>0.64</v>
      </c>
      <c r="BK745" s="5">
        <v>1.81</v>
      </c>
      <c r="BL745" s="5" t="s">
        <v>195</v>
      </c>
      <c r="BM745" s="5">
        <f>0.05*10000</f>
        <v>500</v>
      </c>
      <c r="BN745" s="5">
        <v>1500</v>
      </c>
      <c r="BO745" s="5" t="s">
        <v>598</v>
      </c>
      <c r="CH745" s="5">
        <f>0.41*1000</f>
        <v>410</v>
      </c>
      <c r="CI745" s="5">
        <f>0.86*1000</f>
        <v>860</v>
      </c>
      <c r="CJ745" s="5" t="s">
        <v>599</v>
      </c>
      <c r="CZ745" s="5">
        <v>37</v>
      </c>
      <c r="DA745" s="5">
        <v>6</v>
      </c>
      <c r="DB745" s="5" t="s">
        <v>600</v>
      </c>
      <c r="EJ745" s="12"/>
      <c r="EL745" s="15"/>
      <c r="FR745" s="5" t="s">
        <v>820</v>
      </c>
      <c r="FT745" s="5">
        <v>36</v>
      </c>
    </row>
    <row r="746" spans="1:176" s="38" customFormat="1" x14ac:dyDescent="0.25">
      <c r="A746" s="38">
        <v>36</v>
      </c>
      <c r="B746" s="38" t="s">
        <v>578</v>
      </c>
      <c r="C746" s="38" t="s">
        <v>579</v>
      </c>
      <c r="D746" s="38">
        <v>1992</v>
      </c>
      <c r="E746" s="38">
        <v>1982</v>
      </c>
      <c r="F746" s="38" t="s">
        <v>580</v>
      </c>
      <c r="G746" s="38" t="s">
        <v>581</v>
      </c>
      <c r="H746" s="38">
        <f t="shared" si="203"/>
        <v>33.9</v>
      </c>
      <c r="I746" s="38">
        <f t="shared" si="204"/>
        <v>-83.4</v>
      </c>
      <c r="J746" s="38">
        <v>185.5</v>
      </c>
      <c r="P746" s="57">
        <v>3</v>
      </c>
      <c r="Q746" s="57"/>
      <c r="R746" s="57"/>
      <c r="S746" s="57" t="s">
        <v>1563</v>
      </c>
      <c r="T746" s="57" t="s">
        <v>1563</v>
      </c>
      <c r="U746" s="57" t="s">
        <v>1563</v>
      </c>
      <c r="V746" s="57" t="s">
        <v>1905</v>
      </c>
      <c r="Z746" s="38" t="s">
        <v>894</v>
      </c>
      <c r="AD746" s="38" t="s">
        <v>1495</v>
      </c>
      <c r="AE746" s="38" t="s">
        <v>1701</v>
      </c>
      <c r="AF746" s="152" t="s">
        <v>666</v>
      </c>
      <c r="AG746" s="38" t="s">
        <v>258</v>
      </c>
      <c r="AH746" s="155" t="s">
        <v>258</v>
      </c>
      <c r="AL746" s="38" t="s">
        <v>572</v>
      </c>
      <c r="AM746" s="38" t="s">
        <v>582</v>
      </c>
      <c r="AN746" s="38" t="s">
        <v>587</v>
      </c>
      <c r="AO746" s="38" t="s">
        <v>583</v>
      </c>
      <c r="AP746" s="38" t="s">
        <v>382</v>
      </c>
      <c r="AQ746" s="38" t="s">
        <v>587</v>
      </c>
      <c r="AR746" s="38" t="s">
        <v>147</v>
      </c>
      <c r="AS746" s="38">
        <v>3</v>
      </c>
      <c r="AT746" s="38">
        <v>3</v>
      </c>
      <c r="AU746" s="38" t="s">
        <v>379</v>
      </c>
      <c r="AY746" s="64"/>
      <c r="AZ746" s="38" t="s">
        <v>590</v>
      </c>
      <c r="BD746" s="38">
        <f>18.4*1000/5</f>
        <v>3680</v>
      </c>
      <c r="BE746" s="38">
        <f>24.7*1000/5</f>
        <v>4940</v>
      </c>
      <c r="BF746" s="38" t="s">
        <v>596</v>
      </c>
      <c r="BJ746" s="38">
        <v>1.3</v>
      </c>
      <c r="BK746" s="38">
        <v>2.25</v>
      </c>
      <c r="BL746" s="38" t="s">
        <v>195</v>
      </c>
      <c r="BM746" s="38">
        <v>900</v>
      </c>
      <c r="BN746" s="38">
        <v>1700</v>
      </c>
      <c r="BO746" s="38" t="s">
        <v>598</v>
      </c>
      <c r="CH746" s="38">
        <f>0.5*1000</f>
        <v>500</v>
      </c>
      <c r="CI746" s="38">
        <f>0.86*1000</f>
        <v>860</v>
      </c>
      <c r="CJ746" s="38" t="s">
        <v>599</v>
      </c>
      <c r="CZ746" s="38">
        <v>35</v>
      </c>
      <c r="DA746" s="38">
        <v>6</v>
      </c>
      <c r="DB746" s="38" t="s">
        <v>600</v>
      </c>
      <c r="EJ746" s="12"/>
      <c r="EL746" s="15"/>
      <c r="FR746" s="5" t="s">
        <v>820</v>
      </c>
      <c r="FT746" s="38">
        <v>36</v>
      </c>
    </row>
    <row r="747" spans="1:176" s="31" customFormat="1" x14ac:dyDescent="0.25">
      <c r="A747" s="31">
        <v>36</v>
      </c>
      <c r="B747" s="31" t="s">
        <v>578</v>
      </c>
      <c r="C747" s="31" t="s">
        <v>579</v>
      </c>
      <c r="D747" s="31">
        <v>1992</v>
      </c>
      <c r="E747" s="31">
        <v>1982</v>
      </c>
      <c r="F747" s="31" t="s">
        <v>580</v>
      </c>
      <c r="G747" s="31" t="s">
        <v>581</v>
      </c>
      <c r="H747" s="31">
        <f t="shared" si="203"/>
        <v>33.9</v>
      </c>
      <c r="I747" s="31">
        <f t="shared" si="204"/>
        <v>-83.4</v>
      </c>
      <c r="J747" s="31">
        <v>185.5</v>
      </c>
      <c r="P747" s="56">
        <v>3</v>
      </c>
      <c r="Q747" s="56"/>
      <c r="R747" s="56"/>
      <c r="S747" s="56" t="s">
        <v>1563</v>
      </c>
      <c r="T747" s="56" t="s">
        <v>1563</v>
      </c>
      <c r="U747" s="56" t="s">
        <v>1563</v>
      </c>
      <c r="V747" s="56" t="s">
        <v>1905</v>
      </c>
      <c r="Z747" s="31" t="s">
        <v>894</v>
      </c>
      <c r="AD747" s="31" t="s">
        <v>1495</v>
      </c>
      <c r="AE747" s="31" t="s">
        <v>1701</v>
      </c>
      <c r="AF747" s="152" t="s">
        <v>666</v>
      </c>
      <c r="AG747" s="31" t="s">
        <v>258</v>
      </c>
      <c r="AH747" s="155" t="s">
        <v>258</v>
      </c>
      <c r="AL747" s="31" t="s">
        <v>572</v>
      </c>
      <c r="AM747" s="31" t="s">
        <v>582</v>
      </c>
      <c r="AN747" s="31" t="s">
        <v>587</v>
      </c>
      <c r="AO747" s="31" t="s">
        <v>583</v>
      </c>
      <c r="AP747" s="31" t="s">
        <v>382</v>
      </c>
      <c r="AQ747" s="31" t="s">
        <v>587</v>
      </c>
      <c r="AR747" s="31" t="s">
        <v>147</v>
      </c>
      <c r="AS747" s="31">
        <v>3</v>
      </c>
      <c r="AT747" s="31">
        <v>3</v>
      </c>
      <c r="AU747" s="31" t="s">
        <v>379</v>
      </c>
      <c r="AZ747" s="31" t="s">
        <v>591</v>
      </c>
      <c r="BD747" s="31">
        <f>16.1*1000/5</f>
        <v>3220.0000000000005</v>
      </c>
      <c r="BE747" s="31">
        <f>15.4*1000/5</f>
        <v>3080</v>
      </c>
      <c r="BF747" s="31" t="s">
        <v>597</v>
      </c>
      <c r="BJ747" s="31">
        <v>1.17</v>
      </c>
      <c r="BK747" s="31">
        <v>2.86</v>
      </c>
      <c r="BL747" s="31" t="s">
        <v>195</v>
      </c>
      <c r="BM747" s="31">
        <v>900</v>
      </c>
      <c r="BN747" s="31">
        <v>2200</v>
      </c>
      <c r="BO747" s="31" t="s">
        <v>598</v>
      </c>
      <c r="CH747" s="31">
        <f>0.59*1000</f>
        <v>590</v>
      </c>
      <c r="CI747" s="31">
        <f>0.88*1000</f>
        <v>880</v>
      </c>
      <c r="CJ747" s="31" t="s">
        <v>599</v>
      </c>
      <c r="EJ747" s="119"/>
      <c r="EL747" s="120"/>
      <c r="FR747" s="31" t="s">
        <v>820</v>
      </c>
      <c r="FT747" s="31">
        <v>36</v>
      </c>
    </row>
    <row r="748" spans="1:176" s="5" customFormat="1" x14ac:dyDescent="0.25">
      <c r="A748" s="5">
        <v>36</v>
      </c>
      <c r="B748" s="5" t="s">
        <v>578</v>
      </c>
      <c r="C748" s="5" t="s">
        <v>579</v>
      </c>
      <c r="D748" s="5">
        <v>1992</v>
      </c>
      <c r="E748" s="5">
        <v>1982</v>
      </c>
      <c r="F748" s="5" t="s">
        <v>580</v>
      </c>
      <c r="G748" s="5" t="s">
        <v>581</v>
      </c>
      <c r="H748" s="5">
        <f t="shared" si="203"/>
        <v>33.9</v>
      </c>
      <c r="I748" s="5">
        <f t="shared" si="204"/>
        <v>-83.4</v>
      </c>
      <c r="J748" s="5">
        <v>185.5</v>
      </c>
      <c r="P748" s="62">
        <v>3</v>
      </c>
      <c r="Q748" s="62"/>
      <c r="R748" s="62"/>
      <c r="S748" s="62" t="s">
        <v>1563</v>
      </c>
      <c r="T748" s="62" t="s">
        <v>1563</v>
      </c>
      <c r="U748" s="62" t="s">
        <v>1563</v>
      </c>
      <c r="V748" s="62" t="s">
        <v>1905</v>
      </c>
      <c r="Z748" s="5" t="s">
        <v>894</v>
      </c>
      <c r="AD748" s="5" t="s">
        <v>1495</v>
      </c>
      <c r="AE748" s="5" t="s">
        <v>1701</v>
      </c>
      <c r="AF748" s="152" t="s">
        <v>666</v>
      </c>
      <c r="AG748" s="5" t="s">
        <v>258</v>
      </c>
      <c r="AH748" s="155" t="s">
        <v>258</v>
      </c>
      <c r="AL748" s="5" t="s">
        <v>572</v>
      </c>
      <c r="AM748" s="5" t="s">
        <v>582</v>
      </c>
      <c r="AN748" s="5" t="s">
        <v>587</v>
      </c>
      <c r="AO748" s="5" t="s">
        <v>584</v>
      </c>
      <c r="AP748" s="5" t="s">
        <v>585</v>
      </c>
      <c r="AQ748" s="5" t="s">
        <v>587</v>
      </c>
      <c r="AR748" s="5" t="s">
        <v>147</v>
      </c>
      <c r="AS748" s="5">
        <v>3</v>
      </c>
      <c r="AT748" s="5">
        <v>3</v>
      </c>
      <c r="AU748" s="5" t="s">
        <v>379</v>
      </c>
      <c r="AY748" s="64"/>
      <c r="AZ748" s="5" t="s">
        <v>592</v>
      </c>
      <c r="BD748" s="5">
        <f>31.1*1000/5</f>
        <v>6220</v>
      </c>
      <c r="BE748" s="5">
        <f>29.9*1000/5</f>
        <v>5980</v>
      </c>
      <c r="BF748" s="5" t="s">
        <v>595</v>
      </c>
      <c r="BJ748" s="5">
        <v>0.71</v>
      </c>
      <c r="BK748" s="5">
        <v>1.81</v>
      </c>
      <c r="BL748" s="5" t="s">
        <v>195</v>
      </c>
      <c r="BM748" s="5">
        <f>0.06*10000</f>
        <v>600</v>
      </c>
      <c r="BN748" s="5">
        <v>1400</v>
      </c>
      <c r="BO748" s="5" t="s">
        <v>598</v>
      </c>
      <c r="CH748" s="5">
        <f>0.59*1000</f>
        <v>590</v>
      </c>
      <c r="CI748" s="5">
        <f>0.88*1000</f>
        <v>880</v>
      </c>
      <c r="CJ748" s="5" t="s">
        <v>599</v>
      </c>
      <c r="EJ748" s="12"/>
      <c r="EL748" s="15"/>
      <c r="FR748" s="5" t="s">
        <v>820</v>
      </c>
      <c r="FT748" s="5">
        <v>36</v>
      </c>
    </row>
    <row r="749" spans="1:176" s="38" customFormat="1" x14ac:dyDescent="0.25">
      <c r="A749" s="38">
        <v>36</v>
      </c>
      <c r="B749" s="38" t="s">
        <v>578</v>
      </c>
      <c r="C749" s="38" t="s">
        <v>579</v>
      </c>
      <c r="D749" s="38">
        <v>1992</v>
      </c>
      <c r="E749" s="38">
        <v>1982</v>
      </c>
      <c r="F749" s="38" t="s">
        <v>580</v>
      </c>
      <c r="G749" s="38" t="s">
        <v>581</v>
      </c>
      <c r="H749" s="38">
        <f t="shared" si="203"/>
        <v>33.9</v>
      </c>
      <c r="I749" s="38">
        <f t="shared" si="204"/>
        <v>-83.4</v>
      </c>
      <c r="J749" s="38">
        <v>185.5</v>
      </c>
      <c r="P749" s="57">
        <v>3</v>
      </c>
      <c r="Q749" s="57"/>
      <c r="R749" s="57"/>
      <c r="S749" s="57" t="s">
        <v>1563</v>
      </c>
      <c r="T749" s="57" t="s">
        <v>1563</v>
      </c>
      <c r="U749" s="57" t="s">
        <v>1563</v>
      </c>
      <c r="V749" s="57" t="s">
        <v>1905</v>
      </c>
      <c r="Z749" s="38" t="s">
        <v>894</v>
      </c>
      <c r="AD749" s="38" t="s">
        <v>1495</v>
      </c>
      <c r="AE749" s="38" t="s">
        <v>1701</v>
      </c>
      <c r="AF749" s="152" t="s">
        <v>666</v>
      </c>
      <c r="AG749" s="38" t="s">
        <v>258</v>
      </c>
      <c r="AH749" s="155" t="s">
        <v>258</v>
      </c>
      <c r="AL749" s="38" t="s">
        <v>572</v>
      </c>
      <c r="AM749" s="38" t="s">
        <v>582</v>
      </c>
      <c r="AN749" s="38" t="s">
        <v>587</v>
      </c>
      <c r="AO749" s="38" t="s">
        <v>584</v>
      </c>
      <c r="AP749" s="38" t="s">
        <v>585</v>
      </c>
      <c r="AQ749" s="38" t="s">
        <v>587</v>
      </c>
      <c r="AR749" s="38" t="s">
        <v>147</v>
      </c>
      <c r="AS749" s="38">
        <v>3</v>
      </c>
      <c r="AT749" s="38">
        <v>3</v>
      </c>
      <c r="AU749" s="38" t="s">
        <v>379</v>
      </c>
      <c r="AY749" s="64"/>
      <c r="AZ749" s="38" t="s">
        <v>593</v>
      </c>
      <c r="BD749" s="38">
        <f>32.1*1000/5</f>
        <v>6420</v>
      </c>
      <c r="BE749" s="38">
        <f>32.8*1000/5</f>
        <v>6560</v>
      </c>
      <c r="BF749" s="38" t="s">
        <v>596</v>
      </c>
      <c r="BJ749" s="38">
        <v>1.38</v>
      </c>
      <c r="BK749" s="38">
        <v>2.38</v>
      </c>
      <c r="BL749" s="38" t="s">
        <v>195</v>
      </c>
      <c r="BM749" s="38">
        <v>1100</v>
      </c>
      <c r="BN749" s="38">
        <v>1900</v>
      </c>
      <c r="BO749" s="38" t="s">
        <v>598</v>
      </c>
      <c r="CH749" s="38">
        <f>0.69*1000</f>
        <v>690</v>
      </c>
      <c r="CI749" s="38">
        <v>900</v>
      </c>
      <c r="CJ749" s="38" t="s">
        <v>599</v>
      </c>
      <c r="EJ749" s="12"/>
      <c r="EL749" s="15"/>
      <c r="FR749" s="5" t="s">
        <v>820</v>
      </c>
      <c r="FT749" s="38">
        <v>36</v>
      </c>
    </row>
    <row r="750" spans="1:176" s="31" customFormat="1" x14ac:dyDescent="0.25">
      <c r="A750" s="31">
        <v>36</v>
      </c>
      <c r="B750" s="31" t="s">
        <v>578</v>
      </c>
      <c r="C750" s="31" t="s">
        <v>579</v>
      </c>
      <c r="D750" s="31">
        <v>1992</v>
      </c>
      <c r="E750" s="31">
        <v>1982</v>
      </c>
      <c r="F750" s="31" t="s">
        <v>580</v>
      </c>
      <c r="G750" s="31" t="s">
        <v>581</v>
      </c>
      <c r="H750" s="31">
        <f t="shared" si="203"/>
        <v>33.9</v>
      </c>
      <c r="I750" s="31">
        <f t="shared" si="204"/>
        <v>-83.4</v>
      </c>
      <c r="J750" s="31">
        <v>185.5</v>
      </c>
      <c r="P750" s="56">
        <v>3</v>
      </c>
      <c r="Q750" s="56"/>
      <c r="R750" s="56"/>
      <c r="S750" s="56" t="s">
        <v>1563</v>
      </c>
      <c r="T750" s="56" t="s">
        <v>1563</v>
      </c>
      <c r="U750" s="56" t="s">
        <v>1563</v>
      </c>
      <c r="V750" s="56" t="s">
        <v>1905</v>
      </c>
      <c r="Z750" s="31" t="s">
        <v>894</v>
      </c>
      <c r="AD750" s="31" t="s">
        <v>1495</v>
      </c>
      <c r="AE750" s="31" t="s">
        <v>1701</v>
      </c>
      <c r="AF750" s="152" t="s">
        <v>666</v>
      </c>
      <c r="AG750" s="31" t="s">
        <v>258</v>
      </c>
      <c r="AH750" s="155" t="s">
        <v>258</v>
      </c>
      <c r="AL750" s="31" t="s">
        <v>572</v>
      </c>
      <c r="AM750" s="31" t="s">
        <v>582</v>
      </c>
      <c r="AN750" s="31" t="s">
        <v>587</v>
      </c>
      <c r="AO750" s="31" t="s">
        <v>584</v>
      </c>
      <c r="AP750" s="31" t="s">
        <v>585</v>
      </c>
      <c r="AQ750" s="31" t="s">
        <v>587</v>
      </c>
      <c r="AR750" s="31" t="s">
        <v>147</v>
      </c>
      <c r="AS750" s="31">
        <v>3</v>
      </c>
      <c r="AT750" s="31">
        <v>3</v>
      </c>
      <c r="AU750" s="31" t="s">
        <v>379</v>
      </c>
      <c r="AZ750" s="31" t="s">
        <v>594</v>
      </c>
      <c r="BD750" s="31">
        <f>35.7*1000/5</f>
        <v>7140</v>
      </c>
      <c r="BE750" s="31">
        <f>30.3*1000/5</f>
        <v>6060</v>
      </c>
      <c r="BF750" s="31" t="s">
        <v>597</v>
      </c>
      <c r="BJ750" s="31">
        <v>1.44</v>
      </c>
      <c r="BK750" s="31">
        <v>3.07</v>
      </c>
      <c r="BL750" s="31" t="s">
        <v>195</v>
      </c>
      <c r="BM750" s="31">
        <v>1100</v>
      </c>
      <c r="BN750" s="31">
        <v>2300</v>
      </c>
      <c r="BO750" s="31" t="s">
        <v>598</v>
      </c>
      <c r="CH750" s="31">
        <f>0.7*1000</f>
        <v>700</v>
      </c>
      <c r="CI750" s="31">
        <v>930</v>
      </c>
      <c r="CJ750" s="31" t="s">
        <v>599</v>
      </c>
      <c r="EJ750" s="119"/>
      <c r="EL750" s="120"/>
      <c r="FR750" s="31" t="s">
        <v>820</v>
      </c>
      <c r="FT750" s="31">
        <v>36</v>
      </c>
    </row>
    <row r="751" spans="1:176" s="35" customFormat="1" x14ac:dyDescent="0.25">
      <c r="A751" s="35">
        <v>37</v>
      </c>
      <c r="B751" s="35" t="s">
        <v>601</v>
      </c>
      <c r="C751" s="35" t="s">
        <v>602</v>
      </c>
      <c r="D751" s="35">
        <v>2012</v>
      </c>
      <c r="E751" s="35">
        <v>2009</v>
      </c>
      <c r="F751" s="35" t="s">
        <v>140</v>
      </c>
      <c r="G751" s="35" t="s">
        <v>603</v>
      </c>
      <c r="H751" s="35">
        <f t="shared" ref="H751:H764" si="205">44+19/60</f>
        <v>44.31666666666667</v>
      </c>
      <c r="I751" s="35">
        <f t="shared" ref="I751:I764" si="206">-96-46/60</f>
        <v>-96.766666666666666</v>
      </c>
      <c r="J751" s="35">
        <v>504.6</v>
      </c>
      <c r="L751" s="35">
        <v>8</v>
      </c>
      <c r="M751" s="35">
        <v>580</v>
      </c>
      <c r="P751" s="54">
        <v>1</v>
      </c>
      <c r="Q751" s="54"/>
      <c r="R751" s="54" t="s">
        <v>606</v>
      </c>
      <c r="S751" s="54" t="s">
        <v>1558</v>
      </c>
      <c r="T751" s="54" t="s">
        <v>1558</v>
      </c>
      <c r="U751" s="54" t="s">
        <v>1558</v>
      </c>
      <c r="V751" s="54" t="s">
        <v>1905</v>
      </c>
      <c r="X751" s="35">
        <v>60</v>
      </c>
      <c r="Y751" s="35">
        <f t="shared" ref="Y751:Y764" si="207">100-60-28</f>
        <v>12</v>
      </c>
      <c r="Z751" s="35" t="s">
        <v>604</v>
      </c>
      <c r="AA751" s="35">
        <v>7.4</v>
      </c>
      <c r="AB751" s="35">
        <v>2.9</v>
      </c>
      <c r="AC751" s="35">
        <v>0.31</v>
      </c>
      <c r="AD751" s="35" t="s">
        <v>1497</v>
      </c>
      <c r="AE751" s="35" t="s">
        <v>610</v>
      </c>
      <c r="AF751" s="152" t="s">
        <v>1288</v>
      </c>
      <c r="AG751" s="35" t="s">
        <v>607</v>
      </c>
      <c r="AH751" s="154" t="s">
        <v>1805</v>
      </c>
      <c r="AI751" s="35" t="s">
        <v>1803</v>
      </c>
      <c r="AJ751" s="35" t="s">
        <v>1803</v>
      </c>
      <c r="AK751" s="35" t="s">
        <v>212</v>
      </c>
      <c r="AL751" s="35" t="s">
        <v>608</v>
      </c>
      <c r="AM751" s="35" t="s">
        <v>188</v>
      </c>
      <c r="AN751" s="35" t="s">
        <v>587</v>
      </c>
      <c r="AR751" s="35" t="s">
        <v>192</v>
      </c>
      <c r="AS751" s="35">
        <v>4</v>
      </c>
      <c r="AT751" s="35">
        <v>4</v>
      </c>
      <c r="AU751" s="35" t="s">
        <v>169</v>
      </c>
      <c r="AY751" s="63"/>
      <c r="ED751" s="35">
        <v>58.12</v>
      </c>
      <c r="EE751" s="35">
        <v>82.59</v>
      </c>
      <c r="EF751" s="35" t="s">
        <v>609</v>
      </c>
      <c r="FR751" s="35" t="s">
        <v>821</v>
      </c>
      <c r="FT751" s="35">
        <v>37</v>
      </c>
    </row>
    <row r="752" spans="1:176" s="35" customFormat="1" x14ac:dyDescent="0.25">
      <c r="A752" s="35">
        <v>37</v>
      </c>
      <c r="B752" s="35" t="s">
        <v>601</v>
      </c>
      <c r="C752" s="35" t="s">
        <v>602</v>
      </c>
      <c r="D752" s="35">
        <v>2012</v>
      </c>
      <c r="E752" s="35">
        <v>2009</v>
      </c>
      <c r="F752" s="35" t="s">
        <v>140</v>
      </c>
      <c r="G752" s="35" t="s">
        <v>603</v>
      </c>
      <c r="H752" s="35">
        <f t="shared" si="205"/>
        <v>44.31666666666667</v>
      </c>
      <c r="I752" s="35">
        <f t="shared" si="206"/>
        <v>-96.766666666666666</v>
      </c>
      <c r="J752" s="35">
        <v>504.6</v>
      </c>
      <c r="L752" s="35">
        <v>8</v>
      </c>
      <c r="M752" s="35">
        <v>580</v>
      </c>
      <c r="P752" s="54">
        <v>1</v>
      </c>
      <c r="Q752" s="54"/>
      <c r="R752" s="54" t="s">
        <v>606</v>
      </c>
      <c r="S752" s="54" t="s">
        <v>1558</v>
      </c>
      <c r="T752" s="54" t="s">
        <v>1558</v>
      </c>
      <c r="U752" s="54" t="s">
        <v>1558</v>
      </c>
      <c r="V752" s="54" t="s">
        <v>1905</v>
      </c>
      <c r="X752" s="35">
        <v>60</v>
      </c>
      <c r="Y752" s="35">
        <f t="shared" si="207"/>
        <v>12</v>
      </c>
      <c r="Z752" s="35" t="s">
        <v>604</v>
      </c>
      <c r="AA752" s="35">
        <v>7.4</v>
      </c>
      <c r="AB752" s="35">
        <v>2.9</v>
      </c>
      <c r="AC752" s="35">
        <v>0.31</v>
      </c>
      <c r="AD752" s="35" t="s">
        <v>1497</v>
      </c>
      <c r="AE752" s="35" t="s">
        <v>607</v>
      </c>
      <c r="AF752" s="152" t="s">
        <v>1761</v>
      </c>
      <c r="AG752" s="35" t="s">
        <v>607</v>
      </c>
      <c r="AH752" s="154" t="s">
        <v>1805</v>
      </c>
      <c r="AI752" s="35" t="s">
        <v>1803</v>
      </c>
      <c r="AJ752" s="35" t="s">
        <v>1803</v>
      </c>
      <c r="AK752" s="35" t="s">
        <v>212</v>
      </c>
      <c r="AL752" s="35" t="s">
        <v>608</v>
      </c>
      <c r="AM752" s="35" t="s">
        <v>188</v>
      </c>
      <c r="AN752" s="35" t="s">
        <v>587</v>
      </c>
      <c r="AR752" s="35" t="s">
        <v>192</v>
      </c>
      <c r="AS752" s="35">
        <v>4</v>
      </c>
      <c r="AT752" s="35">
        <v>4</v>
      </c>
      <c r="AU752" s="35" t="s">
        <v>169</v>
      </c>
      <c r="AY752" s="63"/>
      <c r="ED752" s="35">
        <v>58.12</v>
      </c>
      <c r="EE752" s="35">
        <v>146.5</v>
      </c>
      <c r="EF752" s="35" t="s">
        <v>609</v>
      </c>
      <c r="FR752" s="35" t="s">
        <v>821</v>
      </c>
      <c r="FT752" s="35">
        <v>37</v>
      </c>
    </row>
    <row r="753" spans="1:176" s="35" customFormat="1" x14ac:dyDescent="0.25">
      <c r="A753" s="35">
        <v>37</v>
      </c>
      <c r="B753" s="35" t="s">
        <v>601</v>
      </c>
      <c r="C753" s="35" t="s">
        <v>602</v>
      </c>
      <c r="D753" s="35">
        <v>2012</v>
      </c>
      <c r="E753" s="35">
        <v>2009</v>
      </c>
      <c r="F753" s="35" t="s">
        <v>140</v>
      </c>
      <c r="G753" s="35" t="s">
        <v>603</v>
      </c>
      <c r="H753" s="35">
        <f t="shared" si="205"/>
        <v>44.31666666666667</v>
      </c>
      <c r="I753" s="35">
        <f t="shared" si="206"/>
        <v>-96.766666666666666</v>
      </c>
      <c r="J753" s="35">
        <v>504.6</v>
      </c>
      <c r="L753" s="35">
        <v>8</v>
      </c>
      <c r="M753" s="35">
        <v>580</v>
      </c>
      <c r="P753" s="54">
        <v>1</v>
      </c>
      <c r="Q753" s="54"/>
      <c r="R753" s="54" t="s">
        <v>606</v>
      </c>
      <c r="S753" s="54" t="s">
        <v>1558</v>
      </c>
      <c r="T753" s="54" t="s">
        <v>1558</v>
      </c>
      <c r="U753" s="54" t="s">
        <v>1558</v>
      </c>
      <c r="V753" s="54" t="s">
        <v>1905</v>
      </c>
      <c r="X753" s="35">
        <v>60</v>
      </c>
      <c r="Y753" s="35">
        <f t="shared" si="207"/>
        <v>12</v>
      </c>
      <c r="Z753" s="35" t="s">
        <v>604</v>
      </c>
      <c r="AA753" s="35">
        <v>7.4</v>
      </c>
      <c r="AB753" s="35">
        <v>2.9</v>
      </c>
      <c r="AC753" s="35">
        <v>0.31</v>
      </c>
      <c r="AD753" s="35" t="s">
        <v>1497</v>
      </c>
      <c r="AE753" s="35" t="s">
        <v>281</v>
      </c>
      <c r="AF753" s="152" t="s">
        <v>666</v>
      </c>
      <c r="AG753" s="35" t="s">
        <v>607</v>
      </c>
      <c r="AH753" s="154" t="s">
        <v>1805</v>
      </c>
      <c r="AI753" s="35" t="s">
        <v>1803</v>
      </c>
      <c r="AJ753" s="35" t="s">
        <v>1803</v>
      </c>
      <c r="AK753" s="35" t="s">
        <v>212</v>
      </c>
      <c r="AL753" s="35" t="s">
        <v>608</v>
      </c>
      <c r="AM753" s="35" t="s">
        <v>188</v>
      </c>
      <c r="AN753" s="35" t="s">
        <v>587</v>
      </c>
      <c r="AR753" s="35" t="s">
        <v>192</v>
      </c>
      <c r="AS753" s="35">
        <v>4</v>
      </c>
      <c r="AT753" s="35">
        <v>4</v>
      </c>
      <c r="AU753" s="35" t="s">
        <v>169</v>
      </c>
      <c r="AY753" s="63"/>
      <c r="ED753" s="35">
        <v>58.12</v>
      </c>
      <c r="EE753" s="35">
        <v>111.06</v>
      </c>
      <c r="EF753" s="35" t="s">
        <v>609</v>
      </c>
      <c r="FR753" s="35" t="s">
        <v>821</v>
      </c>
      <c r="FT753" s="35">
        <v>37</v>
      </c>
    </row>
    <row r="754" spans="1:176" s="35" customFormat="1" x14ac:dyDescent="0.25">
      <c r="A754" s="35">
        <v>37</v>
      </c>
      <c r="B754" s="35" t="s">
        <v>601</v>
      </c>
      <c r="C754" s="35" t="s">
        <v>602</v>
      </c>
      <c r="D754" s="35">
        <v>2012</v>
      </c>
      <c r="E754" s="35">
        <v>2009</v>
      </c>
      <c r="F754" s="35" t="s">
        <v>140</v>
      </c>
      <c r="G754" s="35" t="s">
        <v>603</v>
      </c>
      <c r="H754" s="35">
        <f t="shared" si="205"/>
        <v>44.31666666666667</v>
      </c>
      <c r="I754" s="35">
        <f t="shared" si="206"/>
        <v>-96.766666666666666</v>
      </c>
      <c r="J754" s="35">
        <v>504.6</v>
      </c>
      <c r="L754" s="35">
        <v>8</v>
      </c>
      <c r="M754" s="35">
        <v>580</v>
      </c>
      <c r="P754" s="54">
        <v>1</v>
      </c>
      <c r="Q754" s="54"/>
      <c r="R754" s="54" t="s">
        <v>606</v>
      </c>
      <c r="S754" s="54" t="s">
        <v>1558</v>
      </c>
      <c r="T754" s="54" t="s">
        <v>1558</v>
      </c>
      <c r="U754" s="54" t="s">
        <v>1558</v>
      </c>
      <c r="V754" s="54" t="s">
        <v>1905</v>
      </c>
      <c r="X754" s="35">
        <v>60</v>
      </c>
      <c r="Y754" s="35">
        <f t="shared" si="207"/>
        <v>12</v>
      </c>
      <c r="Z754" s="35" t="s">
        <v>604</v>
      </c>
      <c r="AA754" s="35">
        <v>7.4</v>
      </c>
      <c r="AB754" s="35">
        <v>2.9</v>
      </c>
      <c r="AC754" s="35">
        <v>0.31</v>
      </c>
      <c r="AD754" s="35" t="s">
        <v>1497</v>
      </c>
      <c r="AE754" s="35" t="s">
        <v>1737</v>
      </c>
      <c r="AF754" s="152" t="s">
        <v>1765</v>
      </c>
      <c r="AG754" s="35" t="s">
        <v>607</v>
      </c>
      <c r="AH754" s="154" t="s">
        <v>1805</v>
      </c>
      <c r="AI754" s="35" t="s">
        <v>1803</v>
      </c>
      <c r="AJ754" s="35" t="s">
        <v>1803</v>
      </c>
      <c r="AK754" s="35" t="s">
        <v>212</v>
      </c>
      <c r="AL754" s="35" t="s">
        <v>608</v>
      </c>
      <c r="AM754" s="35" t="s">
        <v>188</v>
      </c>
      <c r="AN754" s="35" t="s">
        <v>587</v>
      </c>
      <c r="AR754" s="35" t="s">
        <v>192</v>
      </c>
      <c r="AS754" s="35">
        <v>4</v>
      </c>
      <c r="AT754" s="35">
        <v>4</v>
      </c>
      <c r="AU754" s="35" t="s">
        <v>169</v>
      </c>
      <c r="AY754" s="63"/>
      <c r="ED754" s="35">
        <v>58.12</v>
      </c>
      <c r="EE754" s="35">
        <v>213.15</v>
      </c>
      <c r="EF754" s="35" t="s">
        <v>609</v>
      </c>
      <c r="FR754" s="35" t="s">
        <v>821</v>
      </c>
      <c r="FT754" s="35">
        <v>37</v>
      </c>
    </row>
    <row r="755" spans="1:176" s="35" customFormat="1" x14ac:dyDescent="0.25">
      <c r="A755" s="35">
        <v>37</v>
      </c>
      <c r="B755" s="35" t="s">
        <v>601</v>
      </c>
      <c r="C755" s="35" t="s">
        <v>602</v>
      </c>
      <c r="D755" s="35">
        <v>2012</v>
      </c>
      <c r="E755" s="35">
        <v>2009</v>
      </c>
      <c r="F755" s="35" t="s">
        <v>140</v>
      </c>
      <c r="G755" s="35" t="s">
        <v>603</v>
      </c>
      <c r="H755" s="35">
        <f t="shared" si="205"/>
        <v>44.31666666666667</v>
      </c>
      <c r="I755" s="35">
        <f t="shared" si="206"/>
        <v>-96.766666666666666</v>
      </c>
      <c r="J755" s="35">
        <v>504.6</v>
      </c>
      <c r="L755" s="35">
        <v>8</v>
      </c>
      <c r="M755" s="35">
        <v>580</v>
      </c>
      <c r="P755" s="54">
        <v>1</v>
      </c>
      <c r="Q755" s="54"/>
      <c r="R755" s="54" t="s">
        <v>606</v>
      </c>
      <c r="S755" s="54" t="s">
        <v>1558</v>
      </c>
      <c r="T755" s="54" t="s">
        <v>1558</v>
      </c>
      <c r="U755" s="54" t="s">
        <v>1558</v>
      </c>
      <c r="V755" s="54" t="s">
        <v>1905</v>
      </c>
      <c r="X755" s="35">
        <v>60</v>
      </c>
      <c r="Y755" s="35">
        <f t="shared" si="207"/>
        <v>12</v>
      </c>
      <c r="Z755" s="35" t="s">
        <v>604</v>
      </c>
      <c r="AA755" s="35">
        <v>7.4</v>
      </c>
      <c r="AB755" s="35">
        <v>2.9</v>
      </c>
      <c r="AC755" s="35">
        <v>0.31</v>
      </c>
      <c r="AD755" s="35" t="s">
        <v>1497</v>
      </c>
      <c r="AE755" s="35" t="s">
        <v>1739</v>
      </c>
      <c r="AF755" s="152" t="s">
        <v>1762</v>
      </c>
      <c r="AG755" s="35" t="s">
        <v>607</v>
      </c>
      <c r="AH755" s="154" t="s">
        <v>1805</v>
      </c>
      <c r="AI755" s="35" t="s">
        <v>1803</v>
      </c>
      <c r="AJ755" s="35" t="s">
        <v>1803</v>
      </c>
      <c r="AK755" s="35" t="s">
        <v>212</v>
      </c>
      <c r="AL755" s="35" t="s">
        <v>608</v>
      </c>
      <c r="AM755" s="35" t="s">
        <v>188</v>
      </c>
      <c r="AN755" s="35" t="s">
        <v>587</v>
      </c>
      <c r="AR755" s="35" t="s">
        <v>192</v>
      </c>
      <c r="AS755" s="35">
        <v>4</v>
      </c>
      <c r="AT755" s="35">
        <v>4</v>
      </c>
      <c r="AU755" s="35" t="s">
        <v>169</v>
      </c>
      <c r="AY755" s="63"/>
      <c r="ED755" s="35">
        <v>58.12</v>
      </c>
      <c r="EE755" s="35">
        <v>176.05</v>
      </c>
      <c r="EF755" s="35" t="s">
        <v>609</v>
      </c>
      <c r="FR755" s="35" t="s">
        <v>821</v>
      </c>
      <c r="FT755" s="35">
        <v>37</v>
      </c>
    </row>
    <row r="756" spans="1:176" s="35" customFormat="1" x14ac:dyDescent="0.25">
      <c r="A756" s="35">
        <v>37</v>
      </c>
      <c r="B756" s="35" t="s">
        <v>601</v>
      </c>
      <c r="C756" s="35" t="s">
        <v>602</v>
      </c>
      <c r="D756" s="35">
        <v>2012</v>
      </c>
      <c r="E756" s="35">
        <v>2009</v>
      </c>
      <c r="F756" s="35" t="s">
        <v>140</v>
      </c>
      <c r="G756" s="35" t="s">
        <v>603</v>
      </c>
      <c r="H756" s="35">
        <f t="shared" si="205"/>
        <v>44.31666666666667</v>
      </c>
      <c r="I756" s="35">
        <f t="shared" si="206"/>
        <v>-96.766666666666666</v>
      </c>
      <c r="J756" s="35">
        <v>504.6</v>
      </c>
      <c r="L756" s="35">
        <v>8</v>
      </c>
      <c r="M756" s="35">
        <v>580</v>
      </c>
      <c r="P756" s="54">
        <v>1</v>
      </c>
      <c r="Q756" s="54"/>
      <c r="R756" s="54" t="s">
        <v>606</v>
      </c>
      <c r="S756" s="54" t="s">
        <v>1558</v>
      </c>
      <c r="T756" s="54" t="s">
        <v>1558</v>
      </c>
      <c r="U756" s="54" t="s">
        <v>1558</v>
      </c>
      <c r="V756" s="54" t="s">
        <v>1905</v>
      </c>
      <c r="X756" s="35">
        <v>60</v>
      </c>
      <c r="Y756" s="35">
        <f t="shared" si="207"/>
        <v>12</v>
      </c>
      <c r="Z756" s="35" t="s">
        <v>604</v>
      </c>
      <c r="AA756" s="35">
        <v>7.4</v>
      </c>
      <c r="AB756" s="35">
        <v>2.9</v>
      </c>
      <c r="AC756" s="35">
        <v>0.31</v>
      </c>
      <c r="AD756" s="35" t="s">
        <v>1497</v>
      </c>
      <c r="AE756" s="35" t="s">
        <v>1738</v>
      </c>
      <c r="AF756" s="152" t="s">
        <v>1765</v>
      </c>
      <c r="AG756" s="35" t="s">
        <v>607</v>
      </c>
      <c r="AH756" s="154" t="s">
        <v>1805</v>
      </c>
      <c r="AI756" s="35" t="s">
        <v>1803</v>
      </c>
      <c r="AJ756" s="35" t="s">
        <v>1803</v>
      </c>
      <c r="AK756" s="35" t="s">
        <v>212</v>
      </c>
      <c r="AL756" s="35" t="s">
        <v>608</v>
      </c>
      <c r="AM756" s="35" t="s">
        <v>188</v>
      </c>
      <c r="AN756" s="35" t="s">
        <v>587</v>
      </c>
      <c r="AR756" s="35" t="s">
        <v>192</v>
      </c>
      <c r="AS756" s="35">
        <v>4</v>
      </c>
      <c r="AT756" s="35">
        <v>4</v>
      </c>
      <c r="AU756" s="35" t="s">
        <v>169</v>
      </c>
      <c r="AY756" s="63"/>
      <c r="ED756" s="35">
        <v>58.12</v>
      </c>
      <c r="EE756" s="35">
        <v>83.92</v>
      </c>
      <c r="EF756" s="35" t="s">
        <v>609</v>
      </c>
      <c r="FR756" s="35" t="s">
        <v>821</v>
      </c>
      <c r="FT756" s="35">
        <v>37</v>
      </c>
    </row>
    <row r="757" spans="1:176" s="35" customFormat="1" x14ac:dyDescent="0.25">
      <c r="A757" s="35">
        <v>37</v>
      </c>
      <c r="B757" s="35" t="s">
        <v>601</v>
      </c>
      <c r="C757" s="35" t="s">
        <v>602</v>
      </c>
      <c r="D757" s="35">
        <v>2012</v>
      </c>
      <c r="E757" s="35">
        <v>2009</v>
      </c>
      <c r="F757" s="35" t="s">
        <v>140</v>
      </c>
      <c r="G757" s="35" t="s">
        <v>603</v>
      </c>
      <c r="H757" s="35">
        <f t="shared" si="205"/>
        <v>44.31666666666667</v>
      </c>
      <c r="I757" s="35">
        <f t="shared" si="206"/>
        <v>-96.766666666666666</v>
      </c>
      <c r="J757" s="35">
        <v>504.6</v>
      </c>
      <c r="L757" s="35">
        <v>8</v>
      </c>
      <c r="M757" s="35">
        <v>580</v>
      </c>
      <c r="P757" s="54">
        <v>1</v>
      </c>
      <c r="Q757" s="54"/>
      <c r="R757" s="54" t="s">
        <v>606</v>
      </c>
      <c r="S757" s="54" t="s">
        <v>1558</v>
      </c>
      <c r="T757" s="54" t="s">
        <v>1558</v>
      </c>
      <c r="U757" s="54" t="s">
        <v>1558</v>
      </c>
      <c r="V757" s="54" t="s">
        <v>1905</v>
      </c>
      <c r="X757" s="35">
        <v>60</v>
      </c>
      <c r="Y757" s="35">
        <f t="shared" si="207"/>
        <v>12</v>
      </c>
      <c r="Z757" s="35" t="s">
        <v>604</v>
      </c>
      <c r="AA757" s="35">
        <v>7.4</v>
      </c>
      <c r="AB757" s="35">
        <v>2.9</v>
      </c>
      <c r="AC757" s="35">
        <v>0.31</v>
      </c>
      <c r="AD757" s="35" t="s">
        <v>1497</v>
      </c>
      <c r="AE757" s="35" t="s">
        <v>1736</v>
      </c>
      <c r="AF757" s="152" t="s">
        <v>727</v>
      </c>
      <c r="AG757" s="35" t="s">
        <v>607</v>
      </c>
      <c r="AH757" s="154" t="s">
        <v>1805</v>
      </c>
      <c r="AI757" s="35" t="s">
        <v>1803</v>
      </c>
      <c r="AJ757" s="35" t="s">
        <v>1803</v>
      </c>
      <c r="AK757" s="35" t="s">
        <v>212</v>
      </c>
      <c r="AL757" s="35" t="s">
        <v>608</v>
      </c>
      <c r="AM757" s="35" t="s">
        <v>188</v>
      </c>
      <c r="AN757" s="35" t="s">
        <v>587</v>
      </c>
      <c r="AR757" s="35" t="s">
        <v>192</v>
      </c>
      <c r="AS757" s="35">
        <v>4</v>
      </c>
      <c r="AT757" s="35">
        <v>4</v>
      </c>
      <c r="AU757" s="35" t="s">
        <v>169</v>
      </c>
      <c r="AY757" s="63"/>
      <c r="ED757" s="35">
        <v>58.12</v>
      </c>
      <c r="EE757" s="35">
        <v>179.97</v>
      </c>
      <c r="EF757" s="35" t="s">
        <v>609</v>
      </c>
      <c r="FR757" s="35" t="s">
        <v>821</v>
      </c>
      <c r="FT757" s="35">
        <v>37</v>
      </c>
    </row>
    <row r="758" spans="1:176" s="26" customFormat="1" x14ac:dyDescent="0.25">
      <c r="A758" s="26">
        <v>37</v>
      </c>
      <c r="B758" s="26" t="s">
        <v>601</v>
      </c>
      <c r="C758" s="26" t="s">
        <v>602</v>
      </c>
      <c r="D758" s="26">
        <v>2012</v>
      </c>
      <c r="E758" s="26">
        <v>2010</v>
      </c>
      <c r="F758" s="26" t="s">
        <v>140</v>
      </c>
      <c r="G758" s="26" t="s">
        <v>603</v>
      </c>
      <c r="H758" s="26">
        <f t="shared" si="205"/>
        <v>44.31666666666667</v>
      </c>
      <c r="I758" s="26">
        <f t="shared" si="206"/>
        <v>-96.766666666666666</v>
      </c>
      <c r="J758" s="26">
        <v>504.6</v>
      </c>
      <c r="L758" s="26">
        <v>8</v>
      </c>
      <c r="M758" s="26">
        <v>580</v>
      </c>
      <c r="P758" s="52">
        <v>2</v>
      </c>
      <c r="Q758" s="52"/>
      <c r="R758" s="52" t="s">
        <v>606</v>
      </c>
      <c r="S758" s="52" t="s">
        <v>1558</v>
      </c>
      <c r="T758" s="52" t="s">
        <v>1558</v>
      </c>
      <c r="U758" s="52" t="s">
        <v>1558</v>
      </c>
      <c r="V758" s="52" t="s">
        <v>1905</v>
      </c>
      <c r="X758" s="26">
        <v>60</v>
      </c>
      <c r="Y758" s="26">
        <f t="shared" si="207"/>
        <v>12</v>
      </c>
      <c r="Z758" s="26" t="s">
        <v>604</v>
      </c>
      <c r="AA758" s="26">
        <v>7.4</v>
      </c>
      <c r="AB758" s="26">
        <v>2.9</v>
      </c>
      <c r="AC758" s="26">
        <v>0.31</v>
      </c>
      <c r="AD758" s="26" t="s">
        <v>1497</v>
      </c>
      <c r="AE758" s="26" t="s">
        <v>610</v>
      </c>
      <c r="AF758" s="152" t="s">
        <v>1288</v>
      </c>
      <c r="AG758" s="26" t="s">
        <v>607</v>
      </c>
      <c r="AH758" s="154" t="s">
        <v>1805</v>
      </c>
      <c r="AI758" s="26" t="s">
        <v>1803</v>
      </c>
      <c r="AJ758" s="26" t="s">
        <v>1803</v>
      </c>
      <c r="AK758" s="26" t="s">
        <v>212</v>
      </c>
      <c r="AL758" s="26" t="s">
        <v>608</v>
      </c>
      <c r="AM758" s="26" t="s">
        <v>188</v>
      </c>
      <c r="AN758" s="26" t="s">
        <v>587</v>
      </c>
      <c r="AR758" s="26" t="s">
        <v>192</v>
      </c>
      <c r="AS758" s="26">
        <v>4</v>
      </c>
      <c r="AT758" s="26">
        <v>4</v>
      </c>
      <c r="AU758" s="26" t="s">
        <v>169</v>
      </c>
      <c r="AY758" s="63"/>
      <c r="ED758" s="26">
        <v>27.44</v>
      </c>
      <c r="EE758" s="26">
        <v>40.340000000000003</v>
      </c>
      <c r="EF758" s="26" t="s">
        <v>609</v>
      </c>
      <c r="FR758" s="26" t="s">
        <v>821</v>
      </c>
      <c r="FT758" s="26">
        <v>37</v>
      </c>
    </row>
    <row r="759" spans="1:176" s="26" customFormat="1" x14ac:dyDescent="0.25">
      <c r="A759" s="26">
        <v>37</v>
      </c>
      <c r="B759" s="26" t="s">
        <v>601</v>
      </c>
      <c r="C759" s="26" t="s">
        <v>602</v>
      </c>
      <c r="D759" s="26">
        <v>2012</v>
      </c>
      <c r="E759" s="26">
        <v>2010</v>
      </c>
      <c r="F759" s="26" t="s">
        <v>140</v>
      </c>
      <c r="G759" s="26" t="s">
        <v>603</v>
      </c>
      <c r="H759" s="26">
        <f t="shared" si="205"/>
        <v>44.31666666666667</v>
      </c>
      <c r="I759" s="26">
        <f t="shared" si="206"/>
        <v>-96.766666666666666</v>
      </c>
      <c r="J759" s="26">
        <v>504.6</v>
      </c>
      <c r="L759" s="26">
        <v>8</v>
      </c>
      <c r="M759" s="26">
        <v>580</v>
      </c>
      <c r="P759" s="52">
        <v>2</v>
      </c>
      <c r="Q759" s="52"/>
      <c r="R759" s="52" t="s">
        <v>606</v>
      </c>
      <c r="S759" s="52" t="s">
        <v>1558</v>
      </c>
      <c r="T759" s="52" t="s">
        <v>1558</v>
      </c>
      <c r="U759" s="52" t="s">
        <v>1558</v>
      </c>
      <c r="V759" s="52" t="s">
        <v>1905</v>
      </c>
      <c r="X759" s="26">
        <v>60</v>
      </c>
      <c r="Y759" s="26">
        <f t="shared" si="207"/>
        <v>12</v>
      </c>
      <c r="Z759" s="26" t="s">
        <v>604</v>
      </c>
      <c r="AA759" s="26">
        <v>7.4</v>
      </c>
      <c r="AB759" s="26">
        <v>2.9</v>
      </c>
      <c r="AC759" s="26">
        <v>0.31</v>
      </c>
      <c r="AD759" s="26" t="s">
        <v>1497</v>
      </c>
      <c r="AE759" s="26" t="s">
        <v>607</v>
      </c>
      <c r="AF759" s="152" t="s">
        <v>1761</v>
      </c>
      <c r="AG759" s="26" t="s">
        <v>607</v>
      </c>
      <c r="AH759" s="154" t="s">
        <v>1805</v>
      </c>
      <c r="AI759" s="26" t="s">
        <v>1803</v>
      </c>
      <c r="AJ759" s="26" t="s">
        <v>1803</v>
      </c>
      <c r="AK759" s="26" t="s">
        <v>212</v>
      </c>
      <c r="AL759" s="26" t="s">
        <v>608</v>
      </c>
      <c r="AM759" s="26" t="s">
        <v>188</v>
      </c>
      <c r="AN759" s="26" t="s">
        <v>587</v>
      </c>
      <c r="AR759" s="26" t="s">
        <v>192</v>
      </c>
      <c r="AS759" s="26">
        <v>4</v>
      </c>
      <c r="AT759" s="26">
        <v>4</v>
      </c>
      <c r="AU759" s="26" t="s">
        <v>169</v>
      </c>
      <c r="AY759" s="63"/>
      <c r="ED759" s="26">
        <v>27.44</v>
      </c>
      <c r="EE759" s="26">
        <v>83.55</v>
      </c>
      <c r="EF759" s="26" t="s">
        <v>609</v>
      </c>
      <c r="FR759" s="26" t="s">
        <v>821</v>
      </c>
      <c r="FT759" s="26">
        <v>37</v>
      </c>
    </row>
    <row r="760" spans="1:176" s="26" customFormat="1" x14ac:dyDescent="0.25">
      <c r="A760" s="26">
        <v>37</v>
      </c>
      <c r="B760" s="26" t="s">
        <v>601</v>
      </c>
      <c r="C760" s="26" t="s">
        <v>602</v>
      </c>
      <c r="D760" s="26">
        <v>2012</v>
      </c>
      <c r="E760" s="26">
        <v>2010</v>
      </c>
      <c r="F760" s="26" t="s">
        <v>140</v>
      </c>
      <c r="G760" s="26" t="s">
        <v>603</v>
      </c>
      <c r="H760" s="26">
        <f t="shared" si="205"/>
        <v>44.31666666666667</v>
      </c>
      <c r="I760" s="26">
        <f t="shared" si="206"/>
        <v>-96.766666666666666</v>
      </c>
      <c r="J760" s="26">
        <v>504.6</v>
      </c>
      <c r="L760" s="26">
        <v>8</v>
      </c>
      <c r="M760" s="26">
        <v>580</v>
      </c>
      <c r="P760" s="52">
        <v>2</v>
      </c>
      <c r="Q760" s="52"/>
      <c r="R760" s="52" t="s">
        <v>606</v>
      </c>
      <c r="S760" s="52" t="s">
        <v>1558</v>
      </c>
      <c r="T760" s="52" t="s">
        <v>1558</v>
      </c>
      <c r="U760" s="52" t="s">
        <v>1558</v>
      </c>
      <c r="V760" s="52" t="s">
        <v>1905</v>
      </c>
      <c r="X760" s="26">
        <v>60</v>
      </c>
      <c r="Y760" s="26">
        <f t="shared" si="207"/>
        <v>12</v>
      </c>
      <c r="Z760" s="26" t="s">
        <v>604</v>
      </c>
      <c r="AA760" s="26">
        <v>7.4</v>
      </c>
      <c r="AB760" s="26">
        <v>2.9</v>
      </c>
      <c r="AC760" s="26">
        <v>0.31</v>
      </c>
      <c r="AD760" s="26" t="s">
        <v>1497</v>
      </c>
      <c r="AE760" s="26" t="s">
        <v>281</v>
      </c>
      <c r="AF760" s="152" t="s">
        <v>666</v>
      </c>
      <c r="AG760" s="26" t="s">
        <v>607</v>
      </c>
      <c r="AH760" s="154" t="s">
        <v>1805</v>
      </c>
      <c r="AI760" s="26" t="s">
        <v>1803</v>
      </c>
      <c r="AJ760" s="26" t="s">
        <v>1803</v>
      </c>
      <c r="AK760" s="26" t="s">
        <v>212</v>
      </c>
      <c r="AL760" s="26" t="s">
        <v>608</v>
      </c>
      <c r="AM760" s="26" t="s">
        <v>188</v>
      </c>
      <c r="AN760" s="26" t="s">
        <v>587</v>
      </c>
      <c r="AR760" s="26" t="s">
        <v>192</v>
      </c>
      <c r="AS760" s="26">
        <v>4</v>
      </c>
      <c r="AT760" s="26">
        <v>4</v>
      </c>
      <c r="AU760" s="26" t="s">
        <v>169</v>
      </c>
      <c r="AY760" s="63"/>
      <c r="ED760" s="26">
        <v>27.44</v>
      </c>
      <c r="EE760" s="26">
        <v>41.73</v>
      </c>
      <c r="EF760" s="26" t="s">
        <v>609</v>
      </c>
      <c r="FR760" s="26" t="s">
        <v>821</v>
      </c>
      <c r="FT760" s="26">
        <v>37</v>
      </c>
    </row>
    <row r="761" spans="1:176" s="26" customFormat="1" x14ac:dyDescent="0.25">
      <c r="A761" s="26">
        <v>37</v>
      </c>
      <c r="B761" s="26" t="s">
        <v>601</v>
      </c>
      <c r="C761" s="26" t="s">
        <v>602</v>
      </c>
      <c r="D761" s="26">
        <v>2012</v>
      </c>
      <c r="E761" s="26">
        <v>2010</v>
      </c>
      <c r="F761" s="26" t="s">
        <v>140</v>
      </c>
      <c r="G761" s="26" t="s">
        <v>603</v>
      </c>
      <c r="H761" s="26">
        <f t="shared" si="205"/>
        <v>44.31666666666667</v>
      </c>
      <c r="I761" s="26">
        <f t="shared" si="206"/>
        <v>-96.766666666666666</v>
      </c>
      <c r="J761" s="26">
        <v>504.6</v>
      </c>
      <c r="L761" s="26">
        <v>8</v>
      </c>
      <c r="M761" s="26">
        <v>580</v>
      </c>
      <c r="P761" s="52">
        <v>2</v>
      </c>
      <c r="Q761" s="52"/>
      <c r="R761" s="52" t="s">
        <v>606</v>
      </c>
      <c r="S761" s="52" t="s">
        <v>1558</v>
      </c>
      <c r="T761" s="52" t="s">
        <v>1558</v>
      </c>
      <c r="U761" s="52" t="s">
        <v>1558</v>
      </c>
      <c r="V761" s="52" t="s">
        <v>1905</v>
      </c>
      <c r="X761" s="26">
        <v>60</v>
      </c>
      <c r="Y761" s="26">
        <f t="shared" si="207"/>
        <v>12</v>
      </c>
      <c r="Z761" s="26" t="s">
        <v>604</v>
      </c>
      <c r="AA761" s="26">
        <v>7.4</v>
      </c>
      <c r="AB761" s="26">
        <v>2.9</v>
      </c>
      <c r="AC761" s="26">
        <v>0.31</v>
      </c>
      <c r="AD761" s="26" t="s">
        <v>1497</v>
      </c>
      <c r="AE761" s="26" t="s">
        <v>1737</v>
      </c>
      <c r="AF761" s="152" t="s">
        <v>1765</v>
      </c>
      <c r="AG761" s="26" t="s">
        <v>607</v>
      </c>
      <c r="AH761" s="154" t="s">
        <v>1805</v>
      </c>
      <c r="AI761" s="26" t="s">
        <v>1803</v>
      </c>
      <c r="AJ761" s="26" t="s">
        <v>1803</v>
      </c>
      <c r="AK761" s="26" t="s">
        <v>212</v>
      </c>
      <c r="AL761" s="26" t="s">
        <v>608</v>
      </c>
      <c r="AM761" s="26" t="s">
        <v>188</v>
      </c>
      <c r="AN761" s="26" t="s">
        <v>587</v>
      </c>
      <c r="AR761" s="26" t="s">
        <v>192</v>
      </c>
      <c r="AS761" s="26">
        <v>4</v>
      </c>
      <c r="AT761" s="26">
        <v>4</v>
      </c>
      <c r="AU761" s="26" t="s">
        <v>169</v>
      </c>
      <c r="AY761" s="63"/>
      <c r="ED761" s="26">
        <v>27.44</v>
      </c>
      <c r="EE761" s="26">
        <v>76.89</v>
      </c>
      <c r="EF761" s="26" t="s">
        <v>609</v>
      </c>
      <c r="FR761" s="26" t="s">
        <v>821</v>
      </c>
      <c r="FT761" s="26">
        <v>37</v>
      </c>
    </row>
    <row r="762" spans="1:176" s="26" customFormat="1" x14ac:dyDescent="0.25">
      <c r="A762" s="26">
        <v>37</v>
      </c>
      <c r="B762" s="26" t="s">
        <v>601</v>
      </c>
      <c r="C762" s="26" t="s">
        <v>602</v>
      </c>
      <c r="D762" s="26">
        <v>2012</v>
      </c>
      <c r="E762" s="26">
        <v>2010</v>
      </c>
      <c r="F762" s="26" t="s">
        <v>140</v>
      </c>
      <c r="G762" s="26" t="s">
        <v>603</v>
      </c>
      <c r="H762" s="26">
        <f t="shared" si="205"/>
        <v>44.31666666666667</v>
      </c>
      <c r="I762" s="26">
        <f t="shared" si="206"/>
        <v>-96.766666666666666</v>
      </c>
      <c r="J762" s="26">
        <v>504.6</v>
      </c>
      <c r="L762" s="26">
        <v>8</v>
      </c>
      <c r="M762" s="26">
        <v>580</v>
      </c>
      <c r="P762" s="52">
        <v>2</v>
      </c>
      <c r="Q762" s="52"/>
      <c r="R762" s="52" t="s">
        <v>606</v>
      </c>
      <c r="S762" s="52" t="s">
        <v>1558</v>
      </c>
      <c r="T762" s="52" t="s">
        <v>1558</v>
      </c>
      <c r="U762" s="52" t="s">
        <v>1558</v>
      </c>
      <c r="V762" s="52" t="s">
        <v>1905</v>
      </c>
      <c r="X762" s="26">
        <v>60</v>
      </c>
      <c r="Y762" s="26">
        <f t="shared" si="207"/>
        <v>12</v>
      </c>
      <c r="Z762" s="26" t="s">
        <v>604</v>
      </c>
      <c r="AA762" s="26">
        <v>7.4</v>
      </c>
      <c r="AB762" s="26">
        <v>2.9</v>
      </c>
      <c r="AC762" s="26">
        <v>0.31</v>
      </c>
      <c r="AD762" s="26" t="s">
        <v>1497</v>
      </c>
      <c r="AE762" s="26" t="s">
        <v>1739</v>
      </c>
      <c r="AF762" s="152" t="s">
        <v>1762</v>
      </c>
      <c r="AG762" s="26" t="s">
        <v>607</v>
      </c>
      <c r="AH762" s="154" t="s">
        <v>1805</v>
      </c>
      <c r="AI762" s="26" t="s">
        <v>1803</v>
      </c>
      <c r="AJ762" s="26" t="s">
        <v>1803</v>
      </c>
      <c r="AK762" s="26" t="s">
        <v>212</v>
      </c>
      <c r="AL762" s="26" t="s">
        <v>608</v>
      </c>
      <c r="AM762" s="26" t="s">
        <v>188</v>
      </c>
      <c r="AN762" s="26" t="s">
        <v>587</v>
      </c>
      <c r="AR762" s="26" t="s">
        <v>192</v>
      </c>
      <c r="AS762" s="26">
        <v>4</v>
      </c>
      <c r="AT762" s="26">
        <v>4</v>
      </c>
      <c r="AU762" s="26" t="s">
        <v>169</v>
      </c>
      <c r="AY762" s="63"/>
      <c r="ED762" s="26">
        <v>27.44</v>
      </c>
      <c r="EE762" s="26">
        <v>103.25</v>
      </c>
      <c r="EF762" s="26" t="s">
        <v>609</v>
      </c>
      <c r="FR762" s="26" t="s">
        <v>821</v>
      </c>
      <c r="FT762" s="26">
        <v>37</v>
      </c>
    </row>
    <row r="763" spans="1:176" s="26" customFormat="1" x14ac:dyDescent="0.25">
      <c r="A763" s="26">
        <v>37</v>
      </c>
      <c r="B763" s="26" t="s">
        <v>601</v>
      </c>
      <c r="C763" s="26" t="s">
        <v>602</v>
      </c>
      <c r="D763" s="26">
        <v>2012</v>
      </c>
      <c r="E763" s="26">
        <v>2010</v>
      </c>
      <c r="F763" s="26" t="s">
        <v>140</v>
      </c>
      <c r="G763" s="26" t="s">
        <v>603</v>
      </c>
      <c r="H763" s="26">
        <f t="shared" si="205"/>
        <v>44.31666666666667</v>
      </c>
      <c r="I763" s="26">
        <f t="shared" si="206"/>
        <v>-96.766666666666666</v>
      </c>
      <c r="J763" s="26">
        <v>504.6</v>
      </c>
      <c r="L763" s="26">
        <v>8</v>
      </c>
      <c r="M763" s="26">
        <v>580</v>
      </c>
      <c r="P763" s="52">
        <v>2</v>
      </c>
      <c r="Q763" s="52"/>
      <c r="R763" s="52" t="s">
        <v>606</v>
      </c>
      <c r="S763" s="52" t="s">
        <v>1558</v>
      </c>
      <c r="T763" s="52" t="s">
        <v>1558</v>
      </c>
      <c r="U763" s="52" t="s">
        <v>1558</v>
      </c>
      <c r="V763" s="52" t="s">
        <v>1905</v>
      </c>
      <c r="X763" s="26">
        <v>60</v>
      </c>
      <c r="Y763" s="26">
        <f t="shared" si="207"/>
        <v>12</v>
      </c>
      <c r="Z763" s="26" t="s">
        <v>604</v>
      </c>
      <c r="AA763" s="26">
        <v>7.4</v>
      </c>
      <c r="AB763" s="26">
        <v>2.9</v>
      </c>
      <c r="AC763" s="26">
        <v>0.31</v>
      </c>
      <c r="AD763" s="26" t="s">
        <v>1497</v>
      </c>
      <c r="AE763" s="26" t="s">
        <v>1738</v>
      </c>
      <c r="AF763" s="152" t="s">
        <v>1765</v>
      </c>
      <c r="AG763" s="26" t="s">
        <v>607</v>
      </c>
      <c r="AH763" s="154" t="s">
        <v>1805</v>
      </c>
      <c r="AI763" s="26" t="s">
        <v>1803</v>
      </c>
      <c r="AJ763" s="26" t="s">
        <v>1803</v>
      </c>
      <c r="AK763" s="26" t="s">
        <v>212</v>
      </c>
      <c r="AL763" s="26" t="s">
        <v>608</v>
      </c>
      <c r="AM763" s="26" t="s">
        <v>188</v>
      </c>
      <c r="AN763" s="26" t="s">
        <v>587</v>
      </c>
      <c r="AR763" s="26" t="s">
        <v>192</v>
      </c>
      <c r="AS763" s="26">
        <v>4</v>
      </c>
      <c r="AT763" s="26">
        <v>4</v>
      </c>
      <c r="AU763" s="26" t="s">
        <v>169</v>
      </c>
      <c r="AY763" s="63"/>
      <c r="ED763" s="26">
        <v>27.44</v>
      </c>
      <c r="EE763" s="26">
        <v>42.8</v>
      </c>
      <c r="EF763" s="26" t="s">
        <v>609</v>
      </c>
      <c r="FR763" s="26" t="s">
        <v>821</v>
      </c>
      <c r="FT763" s="26">
        <v>37</v>
      </c>
    </row>
    <row r="764" spans="1:176" s="26" customFormat="1" x14ac:dyDescent="0.25">
      <c r="A764" s="26">
        <v>37</v>
      </c>
      <c r="B764" s="26" t="s">
        <v>601</v>
      </c>
      <c r="C764" s="26" t="s">
        <v>602</v>
      </c>
      <c r="D764" s="26">
        <v>2012</v>
      </c>
      <c r="E764" s="26">
        <v>2010</v>
      </c>
      <c r="F764" s="26" t="s">
        <v>140</v>
      </c>
      <c r="G764" s="26" t="s">
        <v>603</v>
      </c>
      <c r="H764" s="26">
        <f t="shared" si="205"/>
        <v>44.31666666666667</v>
      </c>
      <c r="I764" s="26">
        <f t="shared" si="206"/>
        <v>-96.766666666666666</v>
      </c>
      <c r="J764" s="26">
        <v>504.6</v>
      </c>
      <c r="L764" s="26">
        <v>8</v>
      </c>
      <c r="M764" s="26">
        <v>580</v>
      </c>
      <c r="P764" s="52">
        <v>2</v>
      </c>
      <c r="Q764" s="52"/>
      <c r="R764" s="52" t="s">
        <v>606</v>
      </c>
      <c r="S764" s="52" t="s">
        <v>1558</v>
      </c>
      <c r="T764" s="52" t="s">
        <v>1558</v>
      </c>
      <c r="U764" s="52" t="s">
        <v>1558</v>
      </c>
      <c r="V764" s="52" t="s">
        <v>1905</v>
      </c>
      <c r="X764" s="26">
        <v>60</v>
      </c>
      <c r="Y764" s="26">
        <f t="shared" si="207"/>
        <v>12</v>
      </c>
      <c r="Z764" s="26" t="s">
        <v>604</v>
      </c>
      <c r="AA764" s="26">
        <v>7.4</v>
      </c>
      <c r="AB764" s="26">
        <v>2.9</v>
      </c>
      <c r="AC764" s="26">
        <v>0.31</v>
      </c>
      <c r="AD764" s="26" t="s">
        <v>1497</v>
      </c>
      <c r="AE764" s="26" t="s">
        <v>1736</v>
      </c>
      <c r="AF764" s="152" t="s">
        <v>727</v>
      </c>
      <c r="AG764" s="26" t="s">
        <v>607</v>
      </c>
      <c r="AH764" s="154" t="s">
        <v>1805</v>
      </c>
      <c r="AI764" s="26" t="s">
        <v>1803</v>
      </c>
      <c r="AJ764" s="26" t="s">
        <v>1803</v>
      </c>
      <c r="AK764" s="26" t="s">
        <v>212</v>
      </c>
      <c r="AL764" s="26" t="s">
        <v>608</v>
      </c>
      <c r="AM764" s="26" t="s">
        <v>188</v>
      </c>
      <c r="AN764" s="26" t="s">
        <v>587</v>
      </c>
      <c r="AR764" s="26" t="s">
        <v>192</v>
      </c>
      <c r="AS764" s="26">
        <v>4</v>
      </c>
      <c r="AT764" s="26">
        <v>4</v>
      </c>
      <c r="AU764" s="26" t="s">
        <v>169</v>
      </c>
      <c r="AY764" s="63"/>
      <c r="ED764" s="26">
        <v>27.44</v>
      </c>
      <c r="EE764" s="26">
        <v>111.51</v>
      </c>
      <c r="EF764" s="26" t="s">
        <v>609</v>
      </c>
      <c r="FR764" s="26" t="s">
        <v>821</v>
      </c>
      <c r="FT764" s="26">
        <v>37</v>
      </c>
    </row>
    <row r="765" spans="1:176" s="38" customFormat="1" x14ac:dyDescent="0.25">
      <c r="A765" s="38">
        <v>38</v>
      </c>
      <c r="B765" s="38" t="s">
        <v>611</v>
      </c>
      <c r="C765" s="38" t="s">
        <v>612</v>
      </c>
      <c r="D765" s="38">
        <v>2005</v>
      </c>
      <c r="E765" s="38">
        <v>1999</v>
      </c>
      <c r="F765" s="38" t="s">
        <v>336</v>
      </c>
      <c r="G765" s="38" t="s">
        <v>613</v>
      </c>
      <c r="H765" s="38">
        <v>40.19</v>
      </c>
      <c r="I765" s="38">
        <v>-103.17</v>
      </c>
      <c r="J765" s="38">
        <v>1401.6</v>
      </c>
      <c r="P765" s="57">
        <v>1</v>
      </c>
      <c r="Q765" s="57"/>
      <c r="R765" s="57"/>
      <c r="S765" s="57" t="s">
        <v>1556</v>
      </c>
      <c r="T765" s="57" t="s">
        <v>1556</v>
      </c>
      <c r="U765" s="57" t="s">
        <v>1565</v>
      </c>
      <c r="V765" s="57" t="s">
        <v>1904</v>
      </c>
      <c r="Z765" s="38" t="s">
        <v>531</v>
      </c>
      <c r="AE765" s="38" t="s">
        <v>614</v>
      </c>
      <c r="AF765" s="152" t="s">
        <v>1761</v>
      </c>
      <c r="AG765" s="38" t="s">
        <v>1707</v>
      </c>
      <c r="AH765" s="155" t="s">
        <v>1804</v>
      </c>
      <c r="AI765" s="38" t="s">
        <v>656</v>
      </c>
      <c r="AJ765" s="38" t="s">
        <v>629</v>
      </c>
      <c r="AK765" s="38" t="s">
        <v>587</v>
      </c>
      <c r="AL765" s="38" t="s">
        <v>338</v>
      </c>
      <c r="AM765" s="38" t="s">
        <v>188</v>
      </c>
      <c r="AN765" s="38" t="s">
        <v>587</v>
      </c>
      <c r="AO765" s="38" t="s">
        <v>615</v>
      </c>
      <c r="AP765" s="38" t="s">
        <v>615</v>
      </c>
      <c r="AR765" s="38" t="s">
        <v>147</v>
      </c>
      <c r="AY765" s="64"/>
      <c r="CH765" s="38">
        <v>110</v>
      </c>
      <c r="CI765" s="38">
        <v>124</v>
      </c>
      <c r="EJ765" s="12"/>
      <c r="EL765" s="15"/>
      <c r="EP765" s="38">
        <v>25.1</v>
      </c>
      <c r="EQ765" s="38">
        <v>24.9</v>
      </c>
      <c r="ER765" s="38" t="s">
        <v>658</v>
      </c>
      <c r="EY765" s="38">
        <f>0.077</f>
        <v>7.6999999999999999E-2</v>
      </c>
      <c r="EZ765" s="38">
        <v>0.16200000000000001</v>
      </c>
      <c r="FA765" s="38" t="s">
        <v>657</v>
      </c>
      <c r="FH765" s="38">
        <f>(114+203)/2*0.614</f>
        <v>97.319000000000003</v>
      </c>
      <c r="FI765" s="38">
        <f>177*0.614</f>
        <v>108.678</v>
      </c>
      <c r="FK765" s="38">
        <f>29.7*0.614</f>
        <v>18.235799999999998</v>
      </c>
      <c r="FL765" s="38">
        <f>31.8*0.614</f>
        <v>19.525200000000002</v>
      </c>
      <c r="FR765" s="38" t="s">
        <v>822</v>
      </c>
      <c r="FT765" s="38">
        <v>38</v>
      </c>
    </row>
    <row r="766" spans="1:176" s="38" customFormat="1" x14ac:dyDescent="0.25">
      <c r="A766" s="38">
        <v>38</v>
      </c>
      <c r="B766" s="38" t="s">
        <v>611</v>
      </c>
      <c r="C766" s="38" t="s">
        <v>612</v>
      </c>
      <c r="D766" s="38">
        <v>2005</v>
      </c>
      <c r="E766" s="38">
        <v>1999</v>
      </c>
      <c r="F766" s="38" t="s">
        <v>336</v>
      </c>
      <c r="G766" s="38" t="s">
        <v>613</v>
      </c>
      <c r="H766" s="38">
        <v>40.19</v>
      </c>
      <c r="I766" s="38">
        <v>-103.17</v>
      </c>
      <c r="J766" s="38">
        <v>1401.6</v>
      </c>
      <c r="P766" s="57">
        <v>1</v>
      </c>
      <c r="Q766" s="57"/>
      <c r="R766" s="57"/>
      <c r="S766" s="57" t="s">
        <v>1557</v>
      </c>
      <c r="T766" s="57" t="s">
        <v>1556</v>
      </c>
      <c r="U766" s="57" t="s">
        <v>1565</v>
      </c>
      <c r="V766" s="57" t="s">
        <v>1904</v>
      </c>
      <c r="Z766" s="38" t="s">
        <v>531</v>
      </c>
      <c r="AE766" s="38" t="s">
        <v>614</v>
      </c>
      <c r="AF766" s="152" t="s">
        <v>1761</v>
      </c>
      <c r="AG766" s="38" t="s">
        <v>1707</v>
      </c>
      <c r="AH766" s="155" t="s">
        <v>1804</v>
      </c>
      <c r="AI766" s="38" t="s">
        <v>656</v>
      </c>
      <c r="AJ766" s="38" t="s">
        <v>629</v>
      </c>
      <c r="AK766" s="38" t="s">
        <v>587</v>
      </c>
      <c r="AL766" s="38" t="s">
        <v>338</v>
      </c>
      <c r="AM766" s="38" t="s">
        <v>188</v>
      </c>
      <c r="AN766" s="38" t="s">
        <v>587</v>
      </c>
      <c r="AO766" s="38" t="s">
        <v>615</v>
      </c>
      <c r="AP766" s="38" t="s">
        <v>615</v>
      </c>
      <c r="AR766" s="38" t="s">
        <v>147</v>
      </c>
      <c r="AY766" s="64"/>
      <c r="EJ766" s="12"/>
      <c r="EL766" s="15"/>
      <c r="EP766" s="38">
        <v>9.1</v>
      </c>
      <c r="EQ766" s="38">
        <v>10</v>
      </c>
      <c r="ER766" s="38" t="s">
        <v>658</v>
      </c>
      <c r="EY766" s="38">
        <f>0.057</f>
        <v>5.7000000000000002E-2</v>
      </c>
      <c r="EZ766" s="38">
        <v>5.2999999999999999E-2</v>
      </c>
      <c r="FA766" s="38" t="s">
        <v>657</v>
      </c>
      <c r="FH766" s="38">
        <f>114*0.614</f>
        <v>69.995999999999995</v>
      </c>
      <c r="FI766" s="38">
        <f>134*0.614</f>
        <v>82.275999999999996</v>
      </c>
      <c r="FK766" s="38">
        <f>15.8*0.614</f>
        <v>9.7012</v>
      </c>
      <c r="FL766" s="38">
        <f>15.8*0.614</f>
        <v>9.7012</v>
      </c>
      <c r="FR766" s="38" t="s">
        <v>822</v>
      </c>
      <c r="FT766" s="38">
        <v>38</v>
      </c>
    </row>
    <row r="767" spans="1:176" s="38" customFormat="1" x14ac:dyDescent="0.25">
      <c r="A767" s="38">
        <v>38</v>
      </c>
      <c r="B767" s="38" t="s">
        <v>611</v>
      </c>
      <c r="C767" s="38" t="s">
        <v>612</v>
      </c>
      <c r="D767" s="38">
        <v>2005</v>
      </c>
      <c r="E767" s="38">
        <v>1999</v>
      </c>
      <c r="F767" s="38" t="s">
        <v>336</v>
      </c>
      <c r="G767" s="38" t="s">
        <v>613</v>
      </c>
      <c r="H767" s="38">
        <v>40.19</v>
      </c>
      <c r="I767" s="38">
        <v>-103.17</v>
      </c>
      <c r="J767" s="38">
        <v>1401.6</v>
      </c>
      <c r="P767" s="57">
        <v>1</v>
      </c>
      <c r="Q767" s="57"/>
      <c r="R767" s="57"/>
      <c r="S767" s="57" t="s">
        <v>1566</v>
      </c>
      <c r="T767" s="57" t="s">
        <v>1556</v>
      </c>
      <c r="U767" s="57" t="s">
        <v>1565</v>
      </c>
      <c r="V767" s="57" t="s">
        <v>1905</v>
      </c>
      <c r="Z767" s="38" t="s">
        <v>531</v>
      </c>
      <c r="AE767" s="38" t="s">
        <v>614</v>
      </c>
      <c r="AF767" s="152" t="s">
        <v>1761</v>
      </c>
      <c r="AG767" s="38" t="s">
        <v>1707</v>
      </c>
      <c r="AH767" s="155" t="s">
        <v>1804</v>
      </c>
      <c r="AI767" s="38" t="s">
        <v>656</v>
      </c>
      <c r="AJ767" s="38" t="s">
        <v>629</v>
      </c>
      <c r="AK767" s="38" t="s">
        <v>587</v>
      </c>
      <c r="AL767" s="38" t="s">
        <v>338</v>
      </c>
      <c r="AM767" s="38" t="s">
        <v>188</v>
      </c>
      <c r="AN767" s="38" t="s">
        <v>587</v>
      </c>
      <c r="AO767" s="38" t="s">
        <v>615</v>
      </c>
      <c r="AP767" s="38" t="s">
        <v>615</v>
      </c>
      <c r="AR767" s="38" t="s">
        <v>147</v>
      </c>
      <c r="AY767" s="64"/>
      <c r="EJ767" s="46"/>
      <c r="EL767" s="46"/>
      <c r="EP767" s="38">
        <v>23</v>
      </c>
      <c r="EQ767" s="38">
        <v>14.6</v>
      </c>
      <c r="ER767" s="38" t="s">
        <v>658</v>
      </c>
      <c r="EY767" s="38">
        <f>0.124</f>
        <v>0.124</v>
      </c>
      <c r="EZ767" s="38">
        <v>0.05</v>
      </c>
      <c r="FA767" s="38" t="s">
        <v>657</v>
      </c>
      <c r="FH767" s="38">
        <f>203*0.614</f>
        <v>124.642</v>
      </c>
      <c r="FI767" s="38">
        <f>254*0.614</f>
        <v>155.95599999999999</v>
      </c>
      <c r="FK767" s="38">
        <f>28.1*0.614</f>
        <v>17.253399999999999</v>
      </c>
      <c r="FL767" s="38">
        <f>29.7*0.614</f>
        <v>18.235799999999998</v>
      </c>
      <c r="FR767" s="38" t="s">
        <v>822</v>
      </c>
      <c r="FT767" s="38">
        <v>38</v>
      </c>
    </row>
    <row r="768" spans="1:176" s="31" customFormat="1" x14ac:dyDescent="0.25">
      <c r="A768" s="31">
        <v>38</v>
      </c>
      <c r="B768" s="31" t="s">
        <v>611</v>
      </c>
      <c r="C768" s="31" t="s">
        <v>612</v>
      </c>
      <c r="D768" s="31">
        <v>2005</v>
      </c>
      <c r="E768" s="31">
        <v>1999</v>
      </c>
      <c r="F768" s="31" t="s">
        <v>336</v>
      </c>
      <c r="G768" s="31" t="s">
        <v>616</v>
      </c>
      <c r="H768" s="31">
        <v>44.34</v>
      </c>
      <c r="I768" s="31">
        <v>-96.82</v>
      </c>
      <c r="J768" s="31">
        <v>501</v>
      </c>
      <c r="P768" s="56">
        <v>1</v>
      </c>
      <c r="Q768" s="56"/>
      <c r="R768" s="56"/>
      <c r="S768" s="56" t="s">
        <v>1556</v>
      </c>
      <c r="T768" s="56" t="s">
        <v>1556</v>
      </c>
      <c r="U768" s="56" t="s">
        <v>1565</v>
      </c>
      <c r="V768" s="56" t="s">
        <v>1904</v>
      </c>
      <c r="Z768" s="31" t="s">
        <v>604</v>
      </c>
      <c r="AE768" s="31" t="s">
        <v>142</v>
      </c>
      <c r="AF768" s="152" t="s">
        <v>666</v>
      </c>
      <c r="AG768" s="31" t="s">
        <v>160</v>
      </c>
      <c r="AH768" s="155" t="s">
        <v>1804</v>
      </c>
      <c r="AI768" s="31" t="s">
        <v>631</v>
      </c>
      <c r="AJ768" s="31" t="s">
        <v>630</v>
      </c>
      <c r="AK768" s="31" t="s">
        <v>587</v>
      </c>
      <c r="AL768" s="31" t="s">
        <v>617</v>
      </c>
      <c r="AM768" s="31" t="s">
        <v>617</v>
      </c>
      <c r="AN768" s="31" t="s">
        <v>212</v>
      </c>
      <c r="AO768" s="31" t="s">
        <v>627</v>
      </c>
      <c r="AP768" s="31">
        <v>0</v>
      </c>
      <c r="AQ768" s="31" t="s">
        <v>587</v>
      </c>
      <c r="AR768" s="31" t="s">
        <v>147</v>
      </c>
      <c r="AY768" s="64"/>
      <c r="CH768" s="31">
        <v>491</v>
      </c>
      <c r="CI768" s="31">
        <v>495</v>
      </c>
      <c r="EJ768" s="46"/>
      <c r="EL768" s="46"/>
      <c r="EP768" s="31">
        <v>26.3</v>
      </c>
      <c r="EQ768" s="31">
        <v>34.299999999999997</v>
      </c>
      <c r="ER768" s="31" t="s">
        <v>658</v>
      </c>
      <c r="EY768" s="31">
        <f>0.061</f>
        <v>6.0999999999999999E-2</v>
      </c>
      <c r="EZ768" s="31">
        <v>4.8000000000000001E-2</v>
      </c>
      <c r="FA768" s="31" t="s">
        <v>657</v>
      </c>
      <c r="FH768" s="31">
        <f>331*0.614</f>
        <v>203.23400000000001</v>
      </c>
      <c r="FI768" s="31">
        <f>375*0.614</f>
        <v>230.25</v>
      </c>
      <c r="FK768" s="31">
        <f>34.6*0.614</f>
        <v>21.244399999999999</v>
      </c>
      <c r="FL768" s="31">
        <f>40.4*0.614</f>
        <v>24.805599999999998</v>
      </c>
      <c r="FR768" s="31" t="s">
        <v>822</v>
      </c>
      <c r="FT768" s="31">
        <v>38</v>
      </c>
    </row>
    <row r="769" spans="1:176" s="31" customFormat="1" x14ac:dyDescent="0.25">
      <c r="A769" s="31">
        <v>38</v>
      </c>
      <c r="B769" s="31" t="s">
        <v>611</v>
      </c>
      <c r="C769" s="31" t="s">
        <v>612</v>
      </c>
      <c r="D769" s="31">
        <v>2005</v>
      </c>
      <c r="E769" s="31">
        <v>1999</v>
      </c>
      <c r="F769" s="31" t="s">
        <v>336</v>
      </c>
      <c r="G769" s="31" t="s">
        <v>616</v>
      </c>
      <c r="H769" s="31">
        <v>44.34</v>
      </c>
      <c r="I769" s="31">
        <v>-96.82</v>
      </c>
      <c r="J769" s="31">
        <v>501</v>
      </c>
      <c r="P769" s="56">
        <v>1</v>
      </c>
      <c r="Q769" s="56"/>
      <c r="R769" s="56"/>
      <c r="S769" s="56" t="s">
        <v>1557</v>
      </c>
      <c r="T769" s="56" t="s">
        <v>1556</v>
      </c>
      <c r="U769" s="56" t="s">
        <v>1565</v>
      </c>
      <c r="V769" s="56" t="s">
        <v>1904</v>
      </c>
      <c r="Z769" s="31" t="s">
        <v>604</v>
      </c>
      <c r="AE769" s="31" t="s">
        <v>142</v>
      </c>
      <c r="AF769" s="152" t="s">
        <v>666</v>
      </c>
      <c r="AG769" s="31" t="s">
        <v>160</v>
      </c>
      <c r="AH769" s="155" t="s">
        <v>1804</v>
      </c>
      <c r="AI769" s="31" t="s">
        <v>631</v>
      </c>
      <c r="AJ769" s="31" t="s">
        <v>630</v>
      </c>
      <c r="AK769" s="31" t="s">
        <v>587</v>
      </c>
      <c r="AL769" s="31" t="s">
        <v>617</v>
      </c>
      <c r="AM769" s="31" t="s">
        <v>617</v>
      </c>
      <c r="AN769" s="31" t="s">
        <v>212</v>
      </c>
      <c r="AO769" s="31" t="s">
        <v>627</v>
      </c>
      <c r="AP769" s="31">
        <v>0</v>
      </c>
      <c r="AQ769" s="31" t="s">
        <v>587</v>
      </c>
      <c r="AR769" s="31" t="s">
        <v>147</v>
      </c>
      <c r="AY769" s="64"/>
      <c r="EJ769" s="46"/>
      <c r="EL769" s="46"/>
      <c r="EP769" s="31">
        <v>17.8</v>
      </c>
      <c r="EQ769" s="31">
        <v>17.399999999999999</v>
      </c>
      <c r="ER769" s="31" t="s">
        <v>658</v>
      </c>
      <c r="EY769" s="31">
        <f>0.026</f>
        <v>2.5999999999999999E-2</v>
      </c>
      <c r="EZ769" s="31">
        <v>2.7E-2</v>
      </c>
      <c r="FA769" s="31" t="s">
        <v>657</v>
      </c>
      <c r="FH769" s="31">
        <f>366*0.614</f>
        <v>224.72399999999999</v>
      </c>
      <c r="FI769" s="31">
        <f>380*0.614</f>
        <v>233.32</v>
      </c>
      <c r="FK769" s="31">
        <f>32.3*0.614</f>
        <v>19.832199999999997</v>
      </c>
      <c r="FL769" s="31">
        <f>31*0.614</f>
        <v>19.033999999999999</v>
      </c>
      <c r="FR769" s="31" t="s">
        <v>822</v>
      </c>
      <c r="FT769" s="31">
        <v>38</v>
      </c>
    </row>
    <row r="770" spans="1:176" s="31" customFormat="1" x14ac:dyDescent="0.25">
      <c r="A770" s="31">
        <v>38</v>
      </c>
      <c r="B770" s="31" t="s">
        <v>611</v>
      </c>
      <c r="C770" s="31" t="s">
        <v>612</v>
      </c>
      <c r="D770" s="31">
        <v>2005</v>
      </c>
      <c r="E770" s="31">
        <v>1999</v>
      </c>
      <c r="F770" s="31" t="s">
        <v>336</v>
      </c>
      <c r="G770" s="31" t="s">
        <v>616</v>
      </c>
      <c r="H770" s="31">
        <v>44.34</v>
      </c>
      <c r="I770" s="31">
        <v>-96.82</v>
      </c>
      <c r="J770" s="31">
        <v>501</v>
      </c>
      <c r="P770" s="56">
        <v>1</v>
      </c>
      <c r="Q770" s="56"/>
      <c r="R770" s="56"/>
      <c r="S770" s="56" t="s">
        <v>1566</v>
      </c>
      <c r="T770" s="56" t="s">
        <v>1556</v>
      </c>
      <c r="U770" s="56" t="s">
        <v>1565</v>
      </c>
      <c r="V770" s="56" t="s">
        <v>1905</v>
      </c>
      <c r="Z770" s="31" t="s">
        <v>604</v>
      </c>
      <c r="AE770" s="31" t="s">
        <v>142</v>
      </c>
      <c r="AF770" s="152" t="s">
        <v>666</v>
      </c>
      <c r="AG770" s="31" t="s">
        <v>160</v>
      </c>
      <c r="AH770" s="155" t="s">
        <v>1804</v>
      </c>
      <c r="AI770" s="31" t="s">
        <v>631</v>
      </c>
      <c r="AJ770" s="31" t="s">
        <v>630</v>
      </c>
      <c r="AK770" s="31" t="s">
        <v>587</v>
      </c>
      <c r="AL770" s="31" t="s">
        <v>617</v>
      </c>
      <c r="AM770" s="31" t="s">
        <v>617</v>
      </c>
      <c r="AN770" s="31" t="s">
        <v>212</v>
      </c>
      <c r="AO770" s="31" t="s">
        <v>627</v>
      </c>
      <c r="AP770" s="31">
        <v>0</v>
      </c>
      <c r="AQ770" s="31" t="s">
        <v>587</v>
      </c>
      <c r="AR770" s="31" t="s">
        <v>147</v>
      </c>
      <c r="AY770" s="64"/>
      <c r="EJ770" s="46"/>
      <c r="EL770" s="46"/>
      <c r="EP770" s="31">
        <v>21.5</v>
      </c>
      <c r="EQ770" s="31">
        <v>21.5</v>
      </c>
      <c r="ER770" s="31" t="s">
        <v>658</v>
      </c>
      <c r="EY770" s="31">
        <v>0.02</v>
      </c>
      <c r="EZ770" s="31">
        <v>2.1000000000000001E-2</v>
      </c>
      <c r="FA770" s="31" t="s">
        <v>657</v>
      </c>
      <c r="FH770" s="31">
        <f>548*0.614</f>
        <v>336.47199999999998</v>
      </c>
      <c r="FI770" s="31">
        <f>544*0.614</f>
        <v>334.01600000000002</v>
      </c>
      <c r="FK770" s="31">
        <f>57.8*0.614</f>
        <v>35.489199999999997</v>
      </c>
      <c r="FL770" s="31">
        <f>51.4*0.614</f>
        <v>31.5596</v>
      </c>
      <c r="FR770" s="31" t="s">
        <v>822</v>
      </c>
      <c r="FT770" s="31">
        <v>38</v>
      </c>
    </row>
    <row r="771" spans="1:176" s="38" customFormat="1" x14ac:dyDescent="0.25">
      <c r="A771" s="38">
        <v>38</v>
      </c>
      <c r="B771" s="38" t="s">
        <v>611</v>
      </c>
      <c r="C771" s="38" t="s">
        <v>612</v>
      </c>
      <c r="D771" s="38">
        <v>2005</v>
      </c>
      <c r="E771" s="38">
        <v>1999</v>
      </c>
      <c r="F771" s="38" t="s">
        <v>336</v>
      </c>
      <c r="G771" s="38" t="s">
        <v>628</v>
      </c>
      <c r="H771" s="38">
        <v>35.18</v>
      </c>
      <c r="I771" s="38">
        <v>-102.08</v>
      </c>
      <c r="J771" s="38">
        <v>1154</v>
      </c>
      <c r="P771" s="57">
        <v>1</v>
      </c>
      <c r="Q771" s="57"/>
      <c r="R771" s="57"/>
      <c r="S771" s="57" t="s">
        <v>1556</v>
      </c>
      <c r="T771" s="57" t="s">
        <v>1556</v>
      </c>
      <c r="U771" s="57" t="s">
        <v>1565</v>
      </c>
      <c r="V771" s="57" t="s">
        <v>1904</v>
      </c>
      <c r="Z771" s="38" t="s">
        <v>1204</v>
      </c>
      <c r="AE771" s="38" t="s">
        <v>1707</v>
      </c>
      <c r="AF771" s="152" t="s">
        <v>1761</v>
      </c>
      <c r="AG771" s="38" t="s">
        <v>144</v>
      </c>
      <c r="AH771" s="155" t="s">
        <v>1804</v>
      </c>
      <c r="AI771" s="38" t="s">
        <v>632</v>
      </c>
      <c r="AJ771" s="38" t="s">
        <v>633</v>
      </c>
      <c r="AK771" s="38" t="s">
        <v>587</v>
      </c>
      <c r="AL771" s="38" t="s">
        <v>188</v>
      </c>
      <c r="AM771" s="38" t="s">
        <v>188</v>
      </c>
      <c r="AN771" s="38" t="s">
        <v>212</v>
      </c>
      <c r="AO771" s="38" t="s">
        <v>615</v>
      </c>
      <c r="AP771" s="38">
        <v>0</v>
      </c>
      <c r="AQ771" s="38" t="s">
        <v>587</v>
      </c>
      <c r="AR771" s="38" t="s">
        <v>147</v>
      </c>
      <c r="AY771" s="64"/>
      <c r="CH771" s="38">
        <v>377</v>
      </c>
      <c r="CI771" s="38">
        <v>456</v>
      </c>
      <c r="EJ771" s="46"/>
      <c r="EL771" s="46"/>
      <c r="EP771" s="38">
        <v>17.600000000000001</v>
      </c>
      <c r="EQ771" s="38">
        <v>31.9</v>
      </c>
      <c r="ER771" s="38" t="s">
        <v>658</v>
      </c>
      <c r="EY771" s="38">
        <v>8.4000000000000005E-2</v>
      </c>
      <c r="EZ771" s="38">
        <v>6.6000000000000003E-2</v>
      </c>
      <c r="FA771" s="38" t="s">
        <v>657</v>
      </c>
      <c r="FH771" s="38">
        <f>209*0.614</f>
        <v>128.32599999999999</v>
      </c>
      <c r="FI771" s="38">
        <f>331*0.614</f>
        <v>203.23400000000001</v>
      </c>
      <c r="FK771" s="38">
        <f>26.3*0.614</f>
        <v>16.148199999999999</v>
      </c>
      <c r="FL771" s="38">
        <f>37.1*0.614</f>
        <v>22.779399999999999</v>
      </c>
      <c r="FR771" s="38" t="s">
        <v>822</v>
      </c>
      <c r="FT771" s="38">
        <v>38</v>
      </c>
    </row>
    <row r="772" spans="1:176" s="38" customFormat="1" x14ac:dyDescent="0.25">
      <c r="A772" s="38">
        <v>38</v>
      </c>
      <c r="B772" s="38" t="s">
        <v>611</v>
      </c>
      <c r="C772" s="38" t="s">
        <v>612</v>
      </c>
      <c r="D772" s="38">
        <v>2005</v>
      </c>
      <c r="E772" s="38">
        <v>1999</v>
      </c>
      <c r="F772" s="38" t="s">
        <v>336</v>
      </c>
      <c r="G772" s="38" t="s">
        <v>628</v>
      </c>
      <c r="H772" s="38">
        <v>35.18</v>
      </c>
      <c r="I772" s="38">
        <v>-102.08</v>
      </c>
      <c r="J772" s="38">
        <v>1154</v>
      </c>
      <c r="P772" s="57">
        <v>1</v>
      </c>
      <c r="Q772" s="57"/>
      <c r="R772" s="57"/>
      <c r="S772" s="57" t="s">
        <v>1557</v>
      </c>
      <c r="T772" s="57" t="s">
        <v>1556</v>
      </c>
      <c r="U772" s="57" t="s">
        <v>1565</v>
      </c>
      <c r="V772" s="57" t="s">
        <v>1904</v>
      </c>
      <c r="Z772" s="38" t="s">
        <v>1204</v>
      </c>
      <c r="AE772" s="38" t="s">
        <v>1707</v>
      </c>
      <c r="AF772" s="152" t="s">
        <v>1761</v>
      </c>
      <c r="AG772" s="38" t="s">
        <v>144</v>
      </c>
      <c r="AH772" s="155" t="s">
        <v>1804</v>
      </c>
      <c r="AI772" s="38" t="s">
        <v>632</v>
      </c>
      <c r="AJ772" s="38" t="s">
        <v>633</v>
      </c>
      <c r="AK772" s="38" t="s">
        <v>587</v>
      </c>
      <c r="AL772" s="38" t="s">
        <v>188</v>
      </c>
      <c r="AM772" s="38" t="s">
        <v>188</v>
      </c>
      <c r="AN772" s="38" t="s">
        <v>212</v>
      </c>
      <c r="AO772" s="38" t="s">
        <v>615</v>
      </c>
      <c r="AP772" s="38">
        <v>0</v>
      </c>
      <c r="AQ772" s="38" t="s">
        <v>587</v>
      </c>
      <c r="AR772" s="38" t="s">
        <v>147</v>
      </c>
      <c r="AY772" s="64"/>
      <c r="EJ772" s="46"/>
      <c r="EL772" s="46"/>
      <c r="EP772" s="38">
        <v>8</v>
      </c>
      <c r="EQ772" s="38">
        <v>10.4</v>
      </c>
      <c r="ER772" s="38" t="s">
        <v>658</v>
      </c>
      <c r="EY772" s="38">
        <v>2.5000000000000001E-2</v>
      </c>
      <c r="EZ772" s="38">
        <v>2.7E-2</v>
      </c>
      <c r="FA772" s="38" t="s">
        <v>657</v>
      </c>
      <c r="FH772" s="38">
        <f>197*0.614</f>
        <v>120.958</v>
      </c>
      <c r="FI772" s="38">
        <f>223*0.614</f>
        <v>136.922</v>
      </c>
      <c r="FK772" s="38">
        <f>20.3*0.614</f>
        <v>12.4642</v>
      </c>
      <c r="FL772" s="38">
        <f>24.6*0.614</f>
        <v>15.1044</v>
      </c>
      <c r="FR772" s="38" t="s">
        <v>822</v>
      </c>
      <c r="FT772" s="38">
        <v>38</v>
      </c>
    </row>
    <row r="773" spans="1:176" s="38" customFormat="1" x14ac:dyDescent="0.25">
      <c r="A773" s="38">
        <v>38</v>
      </c>
      <c r="B773" s="38" t="s">
        <v>611</v>
      </c>
      <c r="C773" s="38" t="s">
        <v>612</v>
      </c>
      <c r="D773" s="38">
        <v>2005</v>
      </c>
      <c r="E773" s="38">
        <v>1999</v>
      </c>
      <c r="F773" s="38" t="s">
        <v>336</v>
      </c>
      <c r="G773" s="38" t="s">
        <v>628</v>
      </c>
      <c r="H773" s="38">
        <v>35.18</v>
      </c>
      <c r="I773" s="38">
        <v>-102.08</v>
      </c>
      <c r="J773" s="38">
        <v>1154</v>
      </c>
      <c r="P773" s="57">
        <v>1</v>
      </c>
      <c r="Q773" s="57"/>
      <c r="R773" s="57"/>
      <c r="S773" s="57" t="s">
        <v>1566</v>
      </c>
      <c r="T773" s="57" t="s">
        <v>1556</v>
      </c>
      <c r="U773" s="57" t="s">
        <v>1565</v>
      </c>
      <c r="V773" s="57" t="s">
        <v>1905</v>
      </c>
      <c r="Z773" s="38" t="s">
        <v>1204</v>
      </c>
      <c r="AE773" s="38" t="s">
        <v>1707</v>
      </c>
      <c r="AF773" s="152" t="s">
        <v>1761</v>
      </c>
      <c r="AG773" s="38" t="s">
        <v>144</v>
      </c>
      <c r="AH773" s="155" t="s">
        <v>1804</v>
      </c>
      <c r="AI773" s="38" t="s">
        <v>632</v>
      </c>
      <c r="AJ773" s="38" t="s">
        <v>633</v>
      </c>
      <c r="AK773" s="38" t="s">
        <v>587</v>
      </c>
      <c r="AL773" s="38" t="s">
        <v>188</v>
      </c>
      <c r="AM773" s="38" t="s">
        <v>188</v>
      </c>
      <c r="AN773" s="38" t="s">
        <v>212</v>
      </c>
      <c r="AO773" s="38" t="s">
        <v>615</v>
      </c>
      <c r="AP773" s="38">
        <v>0</v>
      </c>
      <c r="AQ773" s="38" t="s">
        <v>587</v>
      </c>
      <c r="AR773" s="38" t="s">
        <v>147</v>
      </c>
      <c r="AY773" s="64"/>
      <c r="EJ773" s="46"/>
      <c r="EL773" s="46"/>
      <c r="EP773" s="38">
        <v>7.2</v>
      </c>
      <c r="EQ773" s="38">
        <v>12.3</v>
      </c>
      <c r="ER773" s="38" t="s">
        <v>658</v>
      </c>
      <c r="EY773" s="38">
        <v>0.03</v>
      </c>
      <c r="EZ773" s="38">
        <v>7.2999999999999995E-2</v>
      </c>
      <c r="FA773" s="38" t="s">
        <v>657</v>
      </c>
      <c r="FH773" s="38">
        <f>305*0.614</f>
        <v>187.27</v>
      </c>
      <c r="FI773" s="38">
        <f>384*0.614</f>
        <v>235.77600000000001</v>
      </c>
      <c r="FK773" s="38">
        <f>35.5*0.614</f>
        <v>21.797000000000001</v>
      </c>
      <c r="FL773" s="38">
        <f>42.3*0.614</f>
        <v>25.972199999999997</v>
      </c>
      <c r="FR773" s="38" t="s">
        <v>822</v>
      </c>
      <c r="FT773" s="38">
        <v>38</v>
      </c>
    </row>
    <row r="774" spans="1:176" s="31" customFormat="1" x14ac:dyDescent="0.25">
      <c r="A774" s="31">
        <v>38</v>
      </c>
      <c r="B774" s="31" t="s">
        <v>611</v>
      </c>
      <c r="C774" s="31" t="s">
        <v>612</v>
      </c>
      <c r="D774" s="31">
        <v>2005</v>
      </c>
      <c r="E774" s="31">
        <v>1999</v>
      </c>
      <c r="F774" s="31" t="s">
        <v>336</v>
      </c>
      <c r="G774" s="31" t="s">
        <v>634</v>
      </c>
      <c r="H774" s="31">
        <v>46.89</v>
      </c>
      <c r="I774" s="31">
        <v>-96.78</v>
      </c>
      <c r="J774" s="31">
        <v>274.10000000000002</v>
      </c>
      <c r="P774" s="56">
        <v>1</v>
      </c>
      <c r="Q774" s="56"/>
      <c r="R774" s="56"/>
      <c r="S774" s="56" t="s">
        <v>1556</v>
      </c>
      <c r="T774" s="56" t="s">
        <v>1556</v>
      </c>
      <c r="U774" s="56" t="s">
        <v>1565</v>
      </c>
      <c r="V774" s="56" t="s">
        <v>1904</v>
      </c>
      <c r="Z774" s="31" t="s">
        <v>635</v>
      </c>
      <c r="AE774" s="31" t="s">
        <v>474</v>
      </c>
      <c r="AF774" s="152" t="s">
        <v>666</v>
      </c>
      <c r="AG774" s="31" t="s">
        <v>144</v>
      </c>
      <c r="AH774" s="155" t="s">
        <v>1804</v>
      </c>
      <c r="AI774" s="31" t="s">
        <v>636</v>
      </c>
      <c r="AJ774" s="31" t="s">
        <v>636</v>
      </c>
      <c r="AK774" s="31" t="s">
        <v>212</v>
      </c>
      <c r="AL774" s="31" t="s">
        <v>188</v>
      </c>
      <c r="AM774" s="31" t="s">
        <v>637</v>
      </c>
      <c r="AN774" s="31" t="s">
        <v>587</v>
      </c>
      <c r="AO774" s="31">
        <v>0</v>
      </c>
      <c r="AP774" s="31">
        <v>0</v>
      </c>
      <c r="AQ774" s="31" t="s">
        <v>212</v>
      </c>
      <c r="AR774" s="31" t="s">
        <v>147</v>
      </c>
      <c r="AY774" s="64"/>
      <c r="CH774" s="31">
        <v>739</v>
      </c>
      <c r="CI774" s="31">
        <v>832</v>
      </c>
      <c r="EJ774" s="46"/>
      <c r="EL774" s="46"/>
      <c r="EP774" s="31">
        <v>14.4</v>
      </c>
      <c r="EQ774" s="31">
        <v>21.2</v>
      </c>
      <c r="ER774" s="31" t="s">
        <v>658</v>
      </c>
      <c r="EY774" s="31">
        <v>0.05</v>
      </c>
      <c r="EZ774" s="31">
        <v>2.5000000000000001E-2</v>
      </c>
      <c r="FA774" s="31" t="s">
        <v>657</v>
      </c>
      <c r="FH774" s="31">
        <f>243*0.614</f>
        <v>149.202</v>
      </c>
      <c r="FI774" s="31">
        <f>491*0.614</f>
        <v>301.47399999999999</v>
      </c>
      <c r="FK774" s="31">
        <f>42*0.614</f>
        <v>25.788</v>
      </c>
      <c r="FL774" s="31">
        <f>62.6*0.614</f>
        <v>38.436399999999999</v>
      </c>
      <c r="FR774" s="31" t="s">
        <v>822</v>
      </c>
      <c r="FT774" s="31">
        <v>38</v>
      </c>
    </row>
    <row r="775" spans="1:176" s="31" customFormat="1" x14ac:dyDescent="0.25">
      <c r="A775" s="31">
        <v>38</v>
      </c>
      <c r="B775" s="31" t="s">
        <v>611</v>
      </c>
      <c r="C775" s="31" t="s">
        <v>612</v>
      </c>
      <c r="D775" s="31">
        <v>2005</v>
      </c>
      <c r="E775" s="31">
        <v>1999</v>
      </c>
      <c r="F775" s="31" t="s">
        <v>336</v>
      </c>
      <c r="G775" s="31" t="s">
        <v>634</v>
      </c>
      <c r="H775" s="31">
        <v>46.89</v>
      </c>
      <c r="I775" s="31">
        <v>-96.78</v>
      </c>
      <c r="J775" s="31">
        <v>274.10000000000002</v>
      </c>
      <c r="P775" s="56">
        <v>1</v>
      </c>
      <c r="Q775" s="56"/>
      <c r="R775" s="56"/>
      <c r="S775" s="56" t="s">
        <v>1557</v>
      </c>
      <c r="T775" s="56" t="s">
        <v>1556</v>
      </c>
      <c r="U775" s="56" t="s">
        <v>1565</v>
      </c>
      <c r="V775" s="56" t="s">
        <v>1904</v>
      </c>
      <c r="Z775" s="31" t="s">
        <v>635</v>
      </c>
      <c r="AE775" s="31" t="s">
        <v>474</v>
      </c>
      <c r="AF775" s="152" t="s">
        <v>666</v>
      </c>
      <c r="AG775" s="31" t="s">
        <v>144</v>
      </c>
      <c r="AH775" s="155" t="s">
        <v>1804</v>
      </c>
      <c r="AI775" s="31" t="s">
        <v>636</v>
      </c>
      <c r="AJ775" s="31" t="s">
        <v>636</v>
      </c>
      <c r="AK775" s="31" t="s">
        <v>212</v>
      </c>
      <c r="AL775" s="31" t="s">
        <v>188</v>
      </c>
      <c r="AM775" s="31" t="s">
        <v>637</v>
      </c>
      <c r="AN775" s="31" t="s">
        <v>587</v>
      </c>
      <c r="AO775" s="31">
        <v>0</v>
      </c>
      <c r="AP775" s="31">
        <v>0</v>
      </c>
      <c r="AQ775" s="31" t="s">
        <v>212</v>
      </c>
      <c r="AR775" s="31" t="s">
        <v>147</v>
      </c>
      <c r="AY775" s="64"/>
      <c r="EJ775" s="46"/>
      <c r="EL775" s="46"/>
      <c r="EP775" s="31">
        <v>11.7</v>
      </c>
      <c r="EQ775" s="31">
        <v>10.1</v>
      </c>
      <c r="ER775" s="31" t="s">
        <v>658</v>
      </c>
      <c r="EY775" s="31">
        <v>2.3E-2</v>
      </c>
      <c r="EZ775" s="31">
        <v>1.9E-2</v>
      </c>
      <c r="FA775" s="31" t="s">
        <v>657</v>
      </c>
      <c r="FH775" s="31">
        <f>259*0.614</f>
        <v>159.02600000000001</v>
      </c>
      <c r="FI775" s="31">
        <f>334*0.614</f>
        <v>205.07599999999999</v>
      </c>
      <c r="FK775" s="31">
        <f>42.9*0.614</f>
        <v>26.340599999999998</v>
      </c>
      <c r="FL775" s="31">
        <f>42.3*0.614</f>
        <v>25.972199999999997</v>
      </c>
      <c r="FR775" s="31" t="s">
        <v>822</v>
      </c>
      <c r="FT775" s="31">
        <v>38</v>
      </c>
    </row>
    <row r="776" spans="1:176" s="31" customFormat="1" x14ac:dyDescent="0.25">
      <c r="A776" s="31">
        <v>38</v>
      </c>
      <c r="B776" s="31" t="s">
        <v>611</v>
      </c>
      <c r="C776" s="31" t="s">
        <v>612</v>
      </c>
      <c r="D776" s="31">
        <v>2005</v>
      </c>
      <c r="E776" s="31">
        <v>1999</v>
      </c>
      <c r="F776" s="31" t="s">
        <v>336</v>
      </c>
      <c r="G776" s="31" t="s">
        <v>634</v>
      </c>
      <c r="H776" s="31">
        <v>46.89</v>
      </c>
      <c r="I776" s="31">
        <v>-96.78</v>
      </c>
      <c r="J776" s="31">
        <v>274.10000000000002</v>
      </c>
      <c r="P776" s="56">
        <v>1</v>
      </c>
      <c r="Q776" s="56"/>
      <c r="R776" s="56"/>
      <c r="S776" s="56" t="s">
        <v>1566</v>
      </c>
      <c r="T776" s="56" t="s">
        <v>1556</v>
      </c>
      <c r="U776" s="56" t="s">
        <v>1565</v>
      </c>
      <c r="V776" s="56" t="s">
        <v>1905</v>
      </c>
      <c r="Z776" s="31" t="s">
        <v>635</v>
      </c>
      <c r="AE776" s="31" t="s">
        <v>474</v>
      </c>
      <c r="AF776" s="152" t="s">
        <v>666</v>
      </c>
      <c r="AG776" s="31" t="s">
        <v>144</v>
      </c>
      <c r="AH776" s="155" t="s">
        <v>1804</v>
      </c>
      <c r="AI776" s="31" t="s">
        <v>636</v>
      </c>
      <c r="AJ776" s="31" t="s">
        <v>636</v>
      </c>
      <c r="AK776" s="31" t="s">
        <v>212</v>
      </c>
      <c r="AL776" s="31" t="s">
        <v>188</v>
      </c>
      <c r="AM776" s="31" t="s">
        <v>637</v>
      </c>
      <c r="AN776" s="31" t="s">
        <v>587</v>
      </c>
      <c r="AO776" s="31">
        <v>0</v>
      </c>
      <c r="AP776" s="31">
        <v>0</v>
      </c>
      <c r="AQ776" s="31" t="s">
        <v>212</v>
      </c>
      <c r="AR776" s="31" t="s">
        <v>147</v>
      </c>
      <c r="AY776" s="64"/>
      <c r="EJ776" s="46"/>
      <c r="EL776" s="46"/>
      <c r="EP776" s="31">
        <v>12.9</v>
      </c>
      <c r="EQ776" s="31">
        <v>10.6</v>
      </c>
      <c r="ER776" s="31" t="s">
        <v>658</v>
      </c>
      <c r="EY776" s="31">
        <v>2.1000000000000001E-2</v>
      </c>
      <c r="EZ776" s="31">
        <v>2.4E-2</v>
      </c>
      <c r="FA776" s="31" t="s">
        <v>657</v>
      </c>
      <c r="FH776" s="31">
        <f>391*0.614</f>
        <v>240.07399999999998</v>
      </c>
      <c r="FI776" s="31">
        <f>401*0.614</f>
        <v>246.214</v>
      </c>
      <c r="FK776" s="31">
        <f>64.9*0.614</f>
        <v>39.848600000000005</v>
      </c>
      <c r="FL776" s="31">
        <f>52*0.614</f>
        <v>31.928000000000001</v>
      </c>
      <c r="FR776" s="31" t="s">
        <v>822</v>
      </c>
      <c r="FT776" s="31">
        <v>38</v>
      </c>
    </row>
    <row r="777" spans="1:176" s="38" customFormat="1" x14ac:dyDescent="0.25">
      <c r="A777" s="38">
        <v>38</v>
      </c>
      <c r="B777" s="38" t="s">
        <v>611</v>
      </c>
      <c r="C777" s="38" t="s">
        <v>612</v>
      </c>
      <c r="D777" s="38">
        <v>2005</v>
      </c>
      <c r="E777" s="38">
        <v>1999</v>
      </c>
      <c r="F777" s="38" t="s">
        <v>336</v>
      </c>
      <c r="G777" s="38" t="s">
        <v>638</v>
      </c>
      <c r="H777" s="38">
        <v>46.84</v>
      </c>
      <c r="I777" s="38">
        <v>-100.91</v>
      </c>
      <c r="J777" s="38">
        <v>558.1</v>
      </c>
      <c r="P777" s="57">
        <v>1</v>
      </c>
      <c r="Q777" s="57"/>
      <c r="R777" s="57"/>
      <c r="S777" s="57" t="s">
        <v>1556</v>
      </c>
      <c r="T777" s="57" t="s">
        <v>1556</v>
      </c>
      <c r="U777" s="57" t="s">
        <v>1565</v>
      </c>
      <c r="V777" s="57" t="s">
        <v>1904</v>
      </c>
      <c r="Z777" s="38" t="s">
        <v>531</v>
      </c>
      <c r="AE777" s="38" t="s">
        <v>639</v>
      </c>
      <c r="AF777" s="152" t="s">
        <v>1766</v>
      </c>
      <c r="AG777" s="38" t="s">
        <v>1716</v>
      </c>
      <c r="AH777" s="155" t="s">
        <v>1804</v>
      </c>
      <c r="AI777" s="38" t="s">
        <v>640</v>
      </c>
      <c r="AJ777" s="38" t="s">
        <v>641</v>
      </c>
      <c r="AK777" s="38" t="s">
        <v>587</v>
      </c>
      <c r="AL777" s="38" t="s">
        <v>617</v>
      </c>
      <c r="AM777" s="38" t="s">
        <v>188</v>
      </c>
      <c r="AN777" s="38" t="s">
        <v>587</v>
      </c>
      <c r="AO777" s="38" t="s">
        <v>642</v>
      </c>
      <c r="AP777" s="38" t="s">
        <v>642</v>
      </c>
      <c r="AQ777" s="38" t="s">
        <v>212</v>
      </c>
      <c r="AR777" s="38" t="s">
        <v>147</v>
      </c>
      <c r="AY777" s="64"/>
      <c r="CH777" s="38">
        <v>218</v>
      </c>
      <c r="CI777" s="38">
        <v>507</v>
      </c>
      <c r="EJ777" s="46"/>
      <c r="EL777" s="46"/>
      <c r="EP777" s="38">
        <v>21.7</v>
      </c>
      <c r="EQ777" s="38">
        <v>35.6</v>
      </c>
      <c r="ER777" s="38" t="s">
        <v>658</v>
      </c>
      <c r="EY777" s="38">
        <v>4.4999999999999998E-2</v>
      </c>
      <c r="EZ777" s="38">
        <v>4.8000000000000001E-2</v>
      </c>
      <c r="FA777" s="38" t="s">
        <v>657</v>
      </c>
      <c r="FH777" s="38">
        <f>297*0.614</f>
        <v>182.358</v>
      </c>
      <c r="FI777" s="38">
        <f>444*0.614</f>
        <v>272.61599999999999</v>
      </c>
      <c r="FK777" s="38">
        <f>30.9*0.614</f>
        <v>18.9726</v>
      </c>
      <c r="FL777" s="38">
        <f>49.2*0.614</f>
        <v>30.2088</v>
      </c>
      <c r="FR777" s="38" t="s">
        <v>822</v>
      </c>
      <c r="FT777" s="38">
        <v>38</v>
      </c>
    </row>
    <row r="778" spans="1:176" s="38" customFormat="1" x14ac:dyDescent="0.25">
      <c r="A778" s="38">
        <v>38</v>
      </c>
      <c r="B778" s="38" t="s">
        <v>611</v>
      </c>
      <c r="C778" s="38" t="s">
        <v>612</v>
      </c>
      <c r="D778" s="38">
        <v>2005</v>
      </c>
      <c r="E778" s="38">
        <v>1999</v>
      </c>
      <c r="F778" s="38" t="s">
        <v>336</v>
      </c>
      <c r="G778" s="38" t="s">
        <v>638</v>
      </c>
      <c r="H778" s="38">
        <v>46.84</v>
      </c>
      <c r="I778" s="38">
        <v>-100.91</v>
      </c>
      <c r="J778" s="38">
        <v>558.1</v>
      </c>
      <c r="P778" s="57">
        <v>1</v>
      </c>
      <c r="Q778" s="57"/>
      <c r="R778" s="57"/>
      <c r="S778" s="57" t="s">
        <v>1557</v>
      </c>
      <c r="T778" s="57" t="s">
        <v>1556</v>
      </c>
      <c r="U778" s="57" t="s">
        <v>1565</v>
      </c>
      <c r="V778" s="57" t="s">
        <v>1904</v>
      </c>
      <c r="Z778" s="38" t="s">
        <v>531</v>
      </c>
      <c r="AE778" s="38" t="s">
        <v>639</v>
      </c>
      <c r="AF778" s="152" t="s">
        <v>1766</v>
      </c>
      <c r="AG778" s="38" t="s">
        <v>1716</v>
      </c>
      <c r="AH778" s="155" t="s">
        <v>1804</v>
      </c>
      <c r="AI778" s="38" t="s">
        <v>640</v>
      </c>
      <c r="AJ778" s="38" t="s">
        <v>641</v>
      </c>
      <c r="AK778" s="38" t="s">
        <v>587</v>
      </c>
      <c r="AL778" s="38" t="s">
        <v>617</v>
      </c>
      <c r="AM778" s="38" t="s">
        <v>188</v>
      </c>
      <c r="AN778" s="38" t="s">
        <v>587</v>
      </c>
      <c r="AO778" s="38" t="s">
        <v>642</v>
      </c>
      <c r="AP778" s="38" t="s">
        <v>642</v>
      </c>
      <c r="AQ778" s="38" t="s">
        <v>212</v>
      </c>
      <c r="AR778" s="38" t="s">
        <v>147</v>
      </c>
      <c r="AY778" s="64"/>
      <c r="EJ778" s="46"/>
      <c r="EL778" s="46"/>
      <c r="EP778" s="38">
        <v>7.5</v>
      </c>
      <c r="EQ778" s="38">
        <v>19.7</v>
      </c>
      <c r="ER778" s="38" t="s">
        <v>658</v>
      </c>
      <c r="EY778" s="38">
        <v>2.3E-2</v>
      </c>
      <c r="EZ778" s="38">
        <v>2.4E-2</v>
      </c>
      <c r="FA778" s="38" t="s">
        <v>657</v>
      </c>
      <c r="FH778" s="38">
        <f>213*0.614</f>
        <v>130.78200000000001</v>
      </c>
      <c r="FI778" s="38">
        <f>227*0.614</f>
        <v>139.37799999999999</v>
      </c>
      <c r="FK778" s="38">
        <f>16.8*0.614</f>
        <v>10.315200000000001</v>
      </c>
      <c r="FL778" s="38">
        <f>30.1*0.614</f>
        <v>18.481400000000001</v>
      </c>
      <c r="FR778" s="38" t="s">
        <v>822</v>
      </c>
      <c r="FT778" s="38">
        <v>38</v>
      </c>
    </row>
    <row r="779" spans="1:176" s="38" customFormat="1" x14ac:dyDescent="0.25">
      <c r="A779" s="38">
        <v>38</v>
      </c>
      <c r="B779" s="38" t="s">
        <v>611</v>
      </c>
      <c r="C779" s="38" t="s">
        <v>612</v>
      </c>
      <c r="D779" s="38">
        <v>2005</v>
      </c>
      <c r="E779" s="38">
        <v>1999</v>
      </c>
      <c r="F779" s="38" t="s">
        <v>336</v>
      </c>
      <c r="G779" s="38" t="s">
        <v>638</v>
      </c>
      <c r="H779" s="38">
        <v>46.84</v>
      </c>
      <c r="I779" s="38">
        <v>-100.91</v>
      </c>
      <c r="J779" s="38">
        <v>558.1</v>
      </c>
      <c r="P779" s="57">
        <v>1</v>
      </c>
      <c r="Q779" s="57"/>
      <c r="R779" s="57"/>
      <c r="S779" s="57" t="s">
        <v>1566</v>
      </c>
      <c r="T779" s="57" t="s">
        <v>1556</v>
      </c>
      <c r="U779" s="57" t="s">
        <v>1565</v>
      </c>
      <c r="V779" s="57" t="s">
        <v>1905</v>
      </c>
      <c r="Z779" s="38" t="s">
        <v>531</v>
      </c>
      <c r="AE779" s="38" t="s">
        <v>639</v>
      </c>
      <c r="AF779" s="152" t="s">
        <v>1766</v>
      </c>
      <c r="AG779" s="38" t="s">
        <v>1716</v>
      </c>
      <c r="AH779" s="155" t="s">
        <v>1804</v>
      </c>
      <c r="AI779" s="38" t="s">
        <v>640</v>
      </c>
      <c r="AJ779" s="38" t="s">
        <v>641</v>
      </c>
      <c r="AK779" s="38" t="s">
        <v>587</v>
      </c>
      <c r="AL779" s="38" t="s">
        <v>617</v>
      </c>
      <c r="AM779" s="38" t="s">
        <v>188</v>
      </c>
      <c r="AN779" s="38" t="s">
        <v>587</v>
      </c>
      <c r="AO779" s="38" t="s">
        <v>642</v>
      </c>
      <c r="AP779" s="38" t="s">
        <v>642</v>
      </c>
      <c r="AQ779" s="38" t="s">
        <v>212</v>
      </c>
      <c r="AR779" s="38" t="s">
        <v>147</v>
      </c>
      <c r="AY779" s="64"/>
      <c r="EJ779" s="46"/>
      <c r="EL779" s="46"/>
      <c r="EP779" s="38">
        <v>9</v>
      </c>
      <c r="EQ779" s="38">
        <v>15.7</v>
      </c>
      <c r="ER779" s="38" t="s">
        <v>658</v>
      </c>
      <c r="EY779" s="38">
        <v>2.3E-2</v>
      </c>
      <c r="EZ779" s="38">
        <v>0.02</v>
      </c>
      <c r="FA779" s="38" t="s">
        <v>657</v>
      </c>
      <c r="FH779" s="38">
        <f>275*0.614</f>
        <v>168.85</v>
      </c>
      <c r="FI779" s="38">
        <f>453*0.614</f>
        <v>278.142</v>
      </c>
      <c r="FK779" s="38">
        <f>23.5*0.614</f>
        <v>14.429</v>
      </c>
      <c r="FL779" s="38">
        <f>36.5*0.614</f>
        <v>22.411000000000001</v>
      </c>
      <c r="FR779" s="38" t="s">
        <v>822</v>
      </c>
      <c r="FT779" s="38">
        <v>38</v>
      </c>
    </row>
    <row r="780" spans="1:176" s="31" customFormat="1" x14ac:dyDescent="0.25">
      <c r="A780" s="31">
        <v>38</v>
      </c>
      <c r="B780" s="31" t="s">
        <v>611</v>
      </c>
      <c r="C780" s="31" t="s">
        <v>612</v>
      </c>
      <c r="D780" s="31">
        <v>2005</v>
      </c>
      <c r="E780" s="31">
        <v>1999</v>
      </c>
      <c r="F780" s="31" t="s">
        <v>336</v>
      </c>
      <c r="G780" s="31" t="s">
        <v>643</v>
      </c>
      <c r="H780" s="31">
        <v>41.23</v>
      </c>
      <c r="I780" s="31">
        <v>-96.51</v>
      </c>
      <c r="J780" s="31">
        <v>365.7</v>
      </c>
      <c r="P780" s="56">
        <v>1</v>
      </c>
      <c r="Q780" s="56"/>
      <c r="R780" s="56"/>
      <c r="S780" s="56" t="s">
        <v>1556</v>
      </c>
      <c r="T780" s="56" t="s">
        <v>1556</v>
      </c>
      <c r="U780" s="56" t="s">
        <v>1565</v>
      </c>
      <c r="V780" s="56" t="s">
        <v>1904</v>
      </c>
      <c r="Z780" s="31" t="s">
        <v>1204</v>
      </c>
      <c r="AE780" s="31" t="s">
        <v>1697</v>
      </c>
      <c r="AF780" s="152" t="s">
        <v>1762</v>
      </c>
      <c r="AG780" s="31" t="s">
        <v>160</v>
      </c>
      <c r="AH780" s="155" t="s">
        <v>1804</v>
      </c>
      <c r="AI780" s="31" t="s">
        <v>631</v>
      </c>
      <c r="AJ780" s="31" t="s">
        <v>644</v>
      </c>
      <c r="AK780" s="31" t="s">
        <v>587</v>
      </c>
      <c r="AL780" s="31" t="s">
        <v>648</v>
      </c>
      <c r="AM780" s="31" t="s">
        <v>648</v>
      </c>
      <c r="AN780" s="31" t="s">
        <v>212</v>
      </c>
      <c r="AO780" s="31" t="s">
        <v>645</v>
      </c>
      <c r="AP780" s="31" t="s">
        <v>645</v>
      </c>
      <c r="AQ780" s="31" t="s">
        <v>212</v>
      </c>
      <c r="AR780" s="31" t="s">
        <v>147</v>
      </c>
      <c r="AY780" s="64"/>
      <c r="CH780" s="31">
        <v>584</v>
      </c>
      <c r="CI780" s="31">
        <v>622</v>
      </c>
      <c r="EJ780" s="46"/>
      <c r="EL780" s="46"/>
      <c r="EP780" s="31">
        <v>19.3</v>
      </c>
      <c r="EQ780" s="31">
        <v>29.5</v>
      </c>
      <c r="ER780" s="31" t="s">
        <v>658</v>
      </c>
      <c r="EY780" s="31">
        <v>7.1999999999999995E-2</v>
      </c>
      <c r="EZ780" s="31">
        <v>6.2E-2</v>
      </c>
      <c r="FA780" s="31" t="s">
        <v>657</v>
      </c>
      <c r="FH780" s="31">
        <f>195*0.614</f>
        <v>119.73</v>
      </c>
      <c r="FI780" s="31">
        <f>324*0.614</f>
        <v>198.93600000000001</v>
      </c>
      <c r="FK780" s="31">
        <f>29.6*0.614</f>
        <v>18.174400000000002</v>
      </c>
      <c r="FL780" s="31">
        <f>36.7*0.614</f>
        <v>22.533800000000003</v>
      </c>
      <c r="FR780" s="31" t="s">
        <v>822</v>
      </c>
      <c r="FT780" s="31">
        <v>38</v>
      </c>
    </row>
    <row r="781" spans="1:176" s="31" customFormat="1" x14ac:dyDescent="0.25">
      <c r="A781" s="31">
        <v>38</v>
      </c>
      <c r="B781" s="31" t="s">
        <v>611</v>
      </c>
      <c r="C781" s="31" t="s">
        <v>612</v>
      </c>
      <c r="D781" s="31">
        <v>2005</v>
      </c>
      <c r="E781" s="31">
        <v>1999</v>
      </c>
      <c r="F781" s="31" t="s">
        <v>336</v>
      </c>
      <c r="G781" s="31" t="s">
        <v>643</v>
      </c>
      <c r="H781" s="31">
        <v>41.23</v>
      </c>
      <c r="I781" s="31">
        <v>-96.51</v>
      </c>
      <c r="J781" s="31">
        <v>365.7</v>
      </c>
      <c r="P781" s="56">
        <v>1</v>
      </c>
      <c r="Q781" s="56"/>
      <c r="R781" s="56"/>
      <c r="S781" s="56" t="s">
        <v>1557</v>
      </c>
      <c r="T781" s="56" t="s">
        <v>1556</v>
      </c>
      <c r="U781" s="56" t="s">
        <v>1565</v>
      </c>
      <c r="V781" s="56" t="s">
        <v>1904</v>
      </c>
      <c r="Z781" s="31" t="s">
        <v>1204</v>
      </c>
      <c r="AE781" s="31" t="s">
        <v>1697</v>
      </c>
      <c r="AF781" s="152" t="s">
        <v>1762</v>
      </c>
      <c r="AG781" s="31" t="s">
        <v>160</v>
      </c>
      <c r="AH781" s="155" t="s">
        <v>1804</v>
      </c>
      <c r="AI781" s="31" t="s">
        <v>631</v>
      </c>
      <c r="AJ781" s="31" t="s">
        <v>644</v>
      </c>
      <c r="AK781" s="31" t="s">
        <v>587</v>
      </c>
      <c r="AL781" s="31" t="s">
        <v>648</v>
      </c>
      <c r="AM781" s="31" t="s">
        <v>648</v>
      </c>
      <c r="AN781" s="31" t="s">
        <v>212</v>
      </c>
      <c r="AO781" s="31" t="s">
        <v>645</v>
      </c>
      <c r="AP781" s="31" t="s">
        <v>645</v>
      </c>
      <c r="AQ781" s="31" t="s">
        <v>212</v>
      </c>
      <c r="AR781" s="31" t="s">
        <v>147</v>
      </c>
      <c r="AY781" s="64"/>
      <c r="EJ781" s="46"/>
      <c r="EL781" s="46"/>
      <c r="EP781" s="31">
        <v>10.8</v>
      </c>
      <c r="EQ781" s="31">
        <v>11.3</v>
      </c>
      <c r="ER781" s="31" t="s">
        <v>658</v>
      </c>
      <c r="EY781" s="31">
        <v>0.04</v>
      </c>
      <c r="EZ781" s="31">
        <v>3.1E-2</v>
      </c>
      <c r="FA781" s="31" t="s">
        <v>657</v>
      </c>
      <c r="FH781" s="31">
        <f>237*0.614</f>
        <v>145.518</v>
      </c>
      <c r="FI781" s="31">
        <f>272*0.614</f>
        <v>167.00800000000001</v>
      </c>
      <c r="FK781" s="31">
        <f>28.1*0.614</f>
        <v>17.253399999999999</v>
      </c>
      <c r="FL781" s="31">
        <f>32.2*0.614</f>
        <v>19.770800000000001</v>
      </c>
      <c r="FR781" s="31" t="s">
        <v>822</v>
      </c>
      <c r="FT781" s="31">
        <v>38</v>
      </c>
    </row>
    <row r="782" spans="1:176" s="31" customFormat="1" x14ac:dyDescent="0.25">
      <c r="A782" s="31">
        <v>38</v>
      </c>
      <c r="B782" s="31" t="s">
        <v>611</v>
      </c>
      <c r="C782" s="31" t="s">
        <v>612</v>
      </c>
      <c r="D782" s="31">
        <v>2005</v>
      </c>
      <c r="E782" s="31">
        <v>1999</v>
      </c>
      <c r="F782" s="31" t="s">
        <v>336</v>
      </c>
      <c r="G782" s="31" t="s">
        <v>643</v>
      </c>
      <c r="H782" s="31">
        <v>41.23</v>
      </c>
      <c r="I782" s="31">
        <v>-96.51</v>
      </c>
      <c r="J782" s="31">
        <v>365.7</v>
      </c>
      <c r="P782" s="56">
        <v>1</v>
      </c>
      <c r="Q782" s="56"/>
      <c r="R782" s="56"/>
      <c r="S782" s="56" t="s">
        <v>1566</v>
      </c>
      <c r="T782" s="56" t="s">
        <v>1556</v>
      </c>
      <c r="U782" s="56" t="s">
        <v>1565</v>
      </c>
      <c r="V782" s="56" t="s">
        <v>1905</v>
      </c>
      <c r="Z782" s="31" t="s">
        <v>1204</v>
      </c>
      <c r="AE782" s="31" t="s">
        <v>1697</v>
      </c>
      <c r="AF782" s="152" t="s">
        <v>1762</v>
      </c>
      <c r="AG782" s="31" t="s">
        <v>160</v>
      </c>
      <c r="AH782" s="155" t="s">
        <v>1804</v>
      </c>
      <c r="AI782" s="31" t="s">
        <v>631</v>
      </c>
      <c r="AJ782" s="31" t="s">
        <v>644</v>
      </c>
      <c r="AK782" s="31" t="s">
        <v>587</v>
      </c>
      <c r="AL782" s="31" t="s">
        <v>648</v>
      </c>
      <c r="AM782" s="31" t="s">
        <v>648</v>
      </c>
      <c r="AN782" s="31" t="s">
        <v>212</v>
      </c>
      <c r="AO782" s="31" t="s">
        <v>645</v>
      </c>
      <c r="AP782" s="31" t="s">
        <v>645</v>
      </c>
      <c r="AQ782" s="31" t="s">
        <v>212</v>
      </c>
      <c r="AR782" s="31" t="s">
        <v>147</v>
      </c>
      <c r="AY782" s="64"/>
      <c r="EJ782" s="46"/>
      <c r="EL782" s="46"/>
      <c r="EP782" s="31">
        <v>7.4</v>
      </c>
      <c r="EQ782" s="31">
        <v>7.9</v>
      </c>
      <c r="ER782" s="31" t="s">
        <v>658</v>
      </c>
      <c r="EY782" s="31">
        <v>2.7E-2</v>
      </c>
      <c r="EZ782" s="31">
        <v>3.4000000000000002E-2</v>
      </c>
      <c r="FA782" s="31" t="s">
        <v>657</v>
      </c>
      <c r="FH782" s="31">
        <f>317*0.614</f>
        <v>194.63800000000001</v>
      </c>
      <c r="FI782" s="31">
        <f>284*0.614</f>
        <v>174.376</v>
      </c>
      <c r="FK782" s="31">
        <f>37.2*0.614</f>
        <v>22.840800000000002</v>
      </c>
      <c r="FL782" s="31">
        <f>31.5*0.614</f>
        <v>19.341000000000001</v>
      </c>
      <c r="FR782" s="31" t="s">
        <v>822</v>
      </c>
      <c r="FT782" s="31">
        <v>38</v>
      </c>
    </row>
    <row r="783" spans="1:176" s="38" customFormat="1" x14ac:dyDescent="0.25">
      <c r="A783" s="38">
        <v>38</v>
      </c>
      <c r="B783" s="38" t="s">
        <v>611</v>
      </c>
      <c r="C783" s="38" t="s">
        <v>612</v>
      </c>
      <c r="D783" s="38">
        <v>2005</v>
      </c>
      <c r="E783" s="38">
        <v>1999</v>
      </c>
      <c r="F783" s="38" t="s">
        <v>336</v>
      </c>
      <c r="G783" s="38" t="s">
        <v>646</v>
      </c>
      <c r="H783" s="38">
        <v>47.72</v>
      </c>
      <c r="I783" s="38">
        <v>-104.16</v>
      </c>
      <c r="J783" s="38">
        <v>589</v>
      </c>
      <c r="P783" s="57">
        <v>1</v>
      </c>
      <c r="Q783" s="57"/>
      <c r="R783" s="57"/>
      <c r="S783" s="57" t="s">
        <v>1556</v>
      </c>
      <c r="T783" s="57" t="s">
        <v>1556</v>
      </c>
      <c r="U783" s="57" t="s">
        <v>1565</v>
      </c>
      <c r="V783" s="57" t="s">
        <v>1904</v>
      </c>
      <c r="Z783" s="38" t="s">
        <v>167</v>
      </c>
      <c r="AE783" s="38" t="s">
        <v>1716</v>
      </c>
      <c r="AF783" s="152" t="s">
        <v>1761</v>
      </c>
      <c r="AG783" s="38" t="s">
        <v>1779</v>
      </c>
      <c r="AH783" s="155" t="s">
        <v>1804</v>
      </c>
      <c r="AI783" s="38" t="s">
        <v>640</v>
      </c>
      <c r="AJ783" s="38" t="s">
        <v>647</v>
      </c>
      <c r="AK783" s="38" t="s">
        <v>587</v>
      </c>
      <c r="AL783" s="38" t="s">
        <v>648</v>
      </c>
      <c r="AM783" s="38" t="s">
        <v>188</v>
      </c>
      <c r="AN783" s="38" t="s">
        <v>587</v>
      </c>
      <c r="AO783" s="38" t="s">
        <v>585</v>
      </c>
      <c r="AP783" s="38" t="s">
        <v>585</v>
      </c>
      <c r="AQ783" s="38" t="s">
        <v>212</v>
      </c>
      <c r="AR783" s="38" t="s">
        <v>147</v>
      </c>
      <c r="AY783" s="64"/>
      <c r="CH783" s="38">
        <v>486</v>
      </c>
      <c r="CI783" s="38">
        <v>360</v>
      </c>
      <c r="EJ783" s="46"/>
      <c r="EL783" s="46"/>
      <c r="EP783" s="38">
        <v>20.3</v>
      </c>
      <c r="EQ783" s="38">
        <v>20.399999999999999</v>
      </c>
      <c r="ER783" s="38" t="s">
        <v>658</v>
      </c>
      <c r="FK783" s="38">
        <f>24.3*0.614</f>
        <v>14.920199999999999</v>
      </c>
      <c r="FL783" s="38">
        <f>27.6*0.614</f>
        <v>16.946400000000001</v>
      </c>
      <c r="FR783" s="38" t="s">
        <v>822</v>
      </c>
      <c r="FT783" s="38">
        <v>38</v>
      </c>
    </row>
    <row r="784" spans="1:176" s="38" customFormat="1" x14ac:dyDescent="0.25">
      <c r="A784" s="38">
        <v>38</v>
      </c>
      <c r="B784" s="38" t="s">
        <v>611</v>
      </c>
      <c r="C784" s="38" t="s">
        <v>612</v>
      </c>
      <c r="D784" s="38">
        <v>2005</v>
      </c>
      <c r="E784" s="38">
        <v>1999</v>
      </c>
      <c r="F784" s="38" t="s">
        <v>336</v>
      </c>
      <c r="G784" s="38" t="s">
        <v>646</v>
      </c>
      <c r="H784" s="38">
        <v>47.72</v>
      </c>
      <c r="I784" s="38">
        <v>-104.16</v>
      </c>
      <c r="J784" s="38">
        <v>589</v>
      </c>
      <c r="P784" s="57">
        <v>1</v>
      </c>
      <c r="Q784" s="57"/>
      <c r="R784" s="57"/>
      <c r="S784" s="57" t="s">
        <v>1557</v>
      </c>
      <c r="T784" s="57" t="s">
        <v>1556</v>
      </c>
      <c r="U784" s="57" t="s">
        <v>1565</v>
      </c>
      <c r="V784" s="57" t="s">
        <v>1904</v>
      </c>
      <c r="Z784" s="38" t="s">
        <v>167</v>
      </c>
      <c r="AE784" s="38" t="s">
        <v>1716</v>
      </c>
      <c r="AF784" s="152" t="s">
        <v>1761</v>
      </c>
      <c r="AG784" s="38" t="s">
        <v>1779</v>
      </c>
      <c r="AH784" s="155" t="s">
        <v>1804</v>
      </c>
      <c r="AI784" s="38" t="s">
        <v>640</v>
      </c>
      <c r="AJ784" s="38" t="s">
        <v>647</v>
      </c>
      <c r="AK784" s="38" t="s">
        <v>587</v>
      </c>
      <c r="AL784" s="38" t="s">
        <v>648</v>
      </c>
      <c r="AM784" s="38" t="s">
        <v>188</v>
      </c>
      <c r="AN784" s="38" t="s">
        <v>587</v>
      </c>
      <c r="AO784" s="38" t="s">
        <v>585</v>
      </c>
      <c r="AP784" s="38" t="s">
        <v>585</v>
      </c>
      <c r="AQ784" s="38" t="s">
        <v>212</v>
      </c>
      <c r="AR784" s="38" t="s">
        <v>147</v>
      </c>
      <c r="AY784" s="64"/>
      <c r="EJ784" s="46"/>
      <c r="EL784" s="46"/>
      <c r="EP784" s="38">
        <v>8.5</v>
      </c>
      <c r="EQ784" s="38">
        <v>13</v>
      </c>
      <c r="ER784" s="38" t="s">
        <v>658</v>
      </c>
      <c r="EY784" s="38">
        <v>4.7E-2</v>
      </c>
      <c r="EZ784" s="38">
        <v>5.2999999999999999E-2</v>
      </c>
      <c r="FA784" s="38" t="s">
        <v>657</v>
      </c>
      <c r="FH784" s="38">
        <f>208*0.614</f>
        <v>127.712</v>
      </c>
      <c r="FI784" s="38">
        <f>193*0.614</f>
        <v>118.502</v>
      </c>
      <c r="FK784" s="38">
        <f>21.8*0.614</f>
        <v>13.385200000000001</v>
      </c>
      <c r="FL784" s="38">
        <f>17.4*0.614</f>
        <v>10.683599999999998</v>
      </c>
      <c r="FR784" s="38" t="s">
        <v>822</v>
      </c>
      <c r="FT784" s="38">
        <v>38</v>
      </c>
    </row>
    <row r="785" spans="1:176" s="38" customFormat="1" x14ac:dyDescent="0.25">
      <c r="A785" s="38">
        <v>38</v>
      </c>
      <c r="B785" s="38" t="s">
        <v>611</v>
      </c>
      <c r="C785" s="38" t="s">
        <v>612</v>
      </c>
      <c r="D785" s="38">
        <v>2005</v>
      </c>
      <c r="E785" s="38">
        <v>1999</v>
      </c>
      <c r="F785" s="38" t="s">
        <v>336</v>
      </c>
      <c r="G785" s="38" t="s">
        <v>646</v>
      </c>
      <c r="H785" s="38">
        <v>47.72</v>
      </c>
      <c r="I785" s="38">
        <v>-104.16</v>
      </c>
      <c r="J785" s="38">
        <v>589</v>
      </c>
      <c r="P785" s="57">
        <v>1</v>
      </c>
      <c r="Q785" s="57"/>
      <c r="R785" s="57"/>
      <c r="S785" s="57" t="s">
        <v>1566</v>
      </c>
      <c r="T785" s="57" t="s">
        <v>1556</v>
      </c>
      <c r="U785" s="57" t="s">
        <v>1565</v>
      </c>
      <c r="V785" s="57" t="s">
        <v>1905</v>
      </c>
      <c r="Z785" s="38" t="s">
        <v>167</v>
      </c>
      <c r="AE785" s="38" t="s">
        <v>1716</v>
      </c>
      <c r="AF785" s="152" t="s">
        <v>1761</v>
      </c>
      <c r="AG785" s="38" t="s">
        <v>1779</v>
      </c>
      <c r="AH785" s="155" t="s">
        <v>1804</v>
      </c>
      <c r="AI785" s="38" t="s">
        <v>640</v>
      </c>
      <c r="AJ785" s="38" t="s">
        <v>647</v>
      </c>
      <c r="AK785" s="38" t="s">
        <v>587</v>
      </c>
      <c r="AL785" s="38" t="s">
        <v>648</v>
      </c>
      <c r="AM785" s="38" t="s">
        <v>188</v>
      </c>
      <c r="AN785" s="38" t="s">
        <v>587</v>
      </c>
      <c r="AO785" s="38" t="s">
        <v>585</v>
      </c>
      <c r="AP785" s="38" t="s">
        <v>585</v>
      </c>
      <c r="AQ785" s="38" t="s">
        <v>212</v>
      </c>
      <c r="AR785" s="38" t="s">
        <v>147</v>
      </c>
      <c r="AY785" s="64"/>
      <c r="EJ785" s="46"/>
      <c r="EL785" s="46"/>
      <c r="EP785" s="38">
        <v>6.3</v>
      </c>
      <c r="EQ785" s="38">
        <v>10.8</v>
      </c>
      <c r="ER785" s="38" t="s">
        <v>658</v>
      </c>
      <c r="EY785" s="38">
        <v>5.1999999999999998E-2</v>
      </c>
      <c r="EZ785" s="38">
        <v>5.8000000000000003E-2</v>
      </c>
      <c r="FA785" s="38" t="s">
        <v>657</v>
      </c>
      <c r="FH785" s="38">
        <f>263*0.614</f>
        <v>161.482</v>
      </c>
      <c r="FI785" s="38">
        <f>211*0.614</f>
        <v>129.554</v>
      </c>
      <c r="FK785" s="38">
        <f>26.1*0.614</f>
        <v>16.025400000000001</v>
      </c>
      <c r="FL785" s="38">
        <f>20*0.614</f>
        <v>12.28</v>
      </c>
      <c r="FR785" s="38" t="s">
        <v>822</v>
      </c>
      <c r="FT785" s="38">
        <v>38</v>
      </c>
    </row>
    <row r="786" spans="1:176" s="31" customFormat="1" x14ac:dyDescent="0.25">
      <c r="A786" s="31">
        <v>38</v>
      </c>
      <c r="B786" s="31" t="s">
        <v>611</v>
      </c>
      <c r="C786" s="31" t="s">
        <v>612</v>
      </c>
      <c r="D786" s="31">
        <v>2005</v>
      </c>
      <c r="E786" s="31">
        <v>1999</v>
      </c>
      <c r="F786" s="31" t="s">
        <v>336</v>
      </c>
      <c r="G786" s="31" t="s">
        <v>649</v>
      </c>
      <c r="H786" s="31">
        <v>50.29</v>
      </c>
      <c r="I786" s="31">
        <v>-107.73</v>
      </c>
      <c r="J786" s="31">
        <v>781</v>
      </c>
      <c r="P786" s="56">
        <v>1</v>
      </c>
      <c r="Q786" s="56"/>
      <c r="R786" s="56"/>
      <c r="S786" s="56" t="s">
        <v>1556</v>
      </c>
      <c r="T786" s="56" t="s">
        <v>1556</v>
      </c>
      <c r="U786" s="56" t="s">
        <v>1565</v>
      </c>
      <c r="V786" s="56" t="s">
        <v>1904</v>
      </c>
      <c r="Z786" s="31" t="s">
        <v>531</v>
      </c>
      <c r="AE786" s="31" t="s">
        <v>650</v>
      </c>
      <c r="AF786" s="152" t="s">
        <v>666</v>
      </c>
      <c r="AG786" s="31" t="s">
        <v>1779</v>
      </c>
      <c r="AH786" s="155" t="s">
        <v>1804</v>
      </c>
      <c r="AI786" s="31" t="s">
        <v>640</v>
      </c>
      <c r="AJ786" s="31" t="s">
        <v>651</v>
      </c>
      <c r="AK786" s="31" t="s">
        <v>587</v>
      </c>
      <c r="AL786" s="31" t="s">
        <v>652</v>
      </c>
      <c r="AM786" s="31" t="s">
        <v>652</v>
      </c>
      <c r="AN786" s="31" t="s">
        <v>212</v>
      </c>
      <c r="AO786" s="31" t="s">
        <v>615</v>
      </c>
      <c r="AP786" s="31" t="s">
        <v>615</v>
      </c>
      <c r="AR786" s="31" t="s">
        <v>147</v>
      </c>
      <c r="AY786" s="64"/>
      <c r="CH786" s="31">
        <v>485</v>
      </c>
      <c r="CI786" s="31">
        <v>609</v>
      </c>
      <c r="EJ786" s="46"/>
      <c r="EL786" s="46"/>
      <c r="EP786" s="31">
        <v>23.7</v>
      </c>
      <c r="EQ786" s="31">
        <v>45.8</v>
      </c>
      <c r="ER786" s="31" t="s">
        <v>658</v>
      </c>
      <c r="EY786" s="31">
        <v>5.7000000000000002E-2</v>
      </c>
      <c r="EZ786" s="31">
        <v>8.6999999999999994E-2</v>
      </c>
      <c r="FA786" s="31" t="s">
        <v>657</v>
      </c>
      <c r="FH786" s="31">
        <f>288*0.614</f>
        <v>176.83199999999999</v>
      </c>
      <c r="FI786" s="31">
        <f>491*0.614</f>
        <v>301.47399999999999</v>
      </c>
      <c r="FK786" s="31">
        <f>32.8*0.614</f>
        <v>20.139199999999999</v>
      </c>
      <c r="FL786" s="31">
        <f>45.2*0.614</f>
        <v>27.752800000000001</v>
      </c>
      <c r="FR786" s="31" t="s">
        <v>822</v>
      </c>
      <c r="FT786" s="31">
        <v>38</v>
      </c>
    </row>
    <row r="787" spans="1:176" s="31" customFormat="1" x14ac:dyDescent="0.25">
      <c r="A787" s="31">
        <v>38</v>
      </c>
      <c r="B787" s="31" t="s">
        <v>611</v>
      </c>
      <c r="C787" s="31" t="s">
        <v>612</v>
      </c>
      <c r="D787" s="31">
        <v>2005</v>
      </c>
      <c r="E787" s="31">
        <v>1999</v>
      </c>
      <c r="F787" s="31" t="s">
        <v>336</v>
      </c>
      <c r="G787" s="31" t="s">
        <v>649</v>
      </c>
      <c r="H787" s="31">
        <v>50.29</v>
      </c>
      <c r="I787" s="31">
        <v>-107.73</v>
      </c>
      <c r="J787" s="31">
        <v>781</v>
      </c>
      <c r="P787" s="56">
        <v>1</v>
      </c>
      <c r="Q787" s="56"/>
      <c r="R787" s="56"/>
      <c r="S787" s="56" t="s">
        <v>1557</v>
      </c>
      <c r="T787" s="56" t="s">
        <v>1556</v>
      </c>
      <c r="U787" s="56" t="s">
        <v>1565</v>
      </c>
      <c r="V787" s="56" t="s">
        <v>1904</v>
      </c>
      <c r="Z787" s="31" t="s">
        <v>531</v>
      </c>
      <c r="AE787" s="31" t="s">
        <v>650</v>
      </c>
      <c r="AF787" s="152" t="s">
        <v>666</v>
      </c>
      <c r="AG787" s="31" t="s">
        <v>1779</v>
      </c>
      <c r="AH787" s="155" t="s">
        <v>1804</v>
      </c>
      <c r="AI787" s="31" t="s">
        <v>640</v>
      </c>
      <c r="AJ787" s="31" t="s">
        <v>651</v>
      </c>
      <c r="AK787" s="31" t="s">
        <v>587</v>
      </c>
      <c r="AL787" s="31" t="s">
        <v>652</v>
      </c>
      <c r="AM787" s="31" t="s">
        <v>652</v>
      </c>
      <c r="AN787" s="31" t="s">
        <v>212</v>
      </c>
      <c r="AO787" s="31" t="s">
        <v>615</v>
      </c>
      <c r="AP787" s="31" t="s">
        <v>615</v>
      </c>
      <c r="AR787" s="31" t="s">
        <v>147</v>
      </c>
      <c r="AY787" s="64"/>
      <c r="EJ787" s="46"/>
      <c r="EL787" s="46"/>
      <c r="EP787" s="31">
        <v>14.2</v>
      </c>
      <c r="EQ787" s="31">
        <v>22.6</v>
      </c>
      <c r="ER787" s="31" t="s">
        <v>658</v>
      </c>
      <c r="EY787" s="31">
        <v>2.9000000000000001E-2</v>
      </c>
      <c r="EZ787" s="31">
        <v>2.3E-2</v>
      </c>
      <c r="FA787" s="31" t="s">
        <v>657</v>
      </c>
      <c r="FH787" s="31">
        <f>227*0.614</f>
        <v>139.37799999999999</v>
      </c>
      <c r="FI787" s="31">
        <f>352*0.614</f>
        <v>216.12799999999999</v>
      </c>
      <c r="FK787" s="31">
        <f>23.3*0.614</f>
        <v>14.3062</v>
      </c>
      <c r="FL787" s="31">
        <f>35.6*0.614</f>
        <v>21.8584</v>
      </c>
      <c r="FR787" s="31" t="s">
        <v>822</v>
      </c>
      <c r="FT787" s="31">
        <v>38</v>
      </c>
    </row>
    <row r="788" spans="1:176" s="31" customFormat="1" x14ac:dyDescent="0.25">
      <c r="A788" s="31">
        <v>38</v>
      </c>
      <c r="B788" s="31" t="s">
        <v>611</v>
      </c>
      <c r="C788" s="31" t="s">
        <v>612</v>
      </c>
      <c r="D788" s="31">
        <v>2005</v>
      </c>
      <c r="E788" s="31">
        <v>1999</v>
      </c>
      <c r="F788" s="31" t="s">
        <v>336</v>
      </c>
      <c r="G788" s="31" t="s">
        <v>649</v>
      </c>
      <c r="H788" s="31">
        <v>50.29</v>
      </c>
      <c r="I788" s="31">
        <v>-107.73</v>
      </c>
      <c r="J788" s="31">
        <v>781</v>
      </c>
      <c r="P788" s="56">
        <v>1</v>
      </c>
      <c r="Q788" s="56"/>
      <c r="R788" s="56"/>
      <c r="S788" s="56" t="s">
        <v>1566</v>
      </c>
      <c r="T788" s="56" t="s">
        <v>1556</v>
      </c>
      <c r="U788" s="56" t="s">
        <v>1565</v>
      </c>
      <c r="V788" s="56" t="s">
        <v>1905</v>
      </c>
      <c r="Z788" s="31" t="s">
        <v>531</v>
      </c>
      <c r="AE788" s="31" t="s">
        <v>650</v>
      </c>
      <c r="AF788" s="152" t="s">
        <v>666</v>
      </c>
      <c r="AG788" s="31" t="s">
        <v>1779</v>
      </c>
      <c r="AH788" s="155" t="s">
        <v>1804</v>
      </c>
      <c r="AI788" s="31" t="s">
        <v>640</v>
      </c>
      <c r="AJ788" s="31" t="s">
        <v>651</v>
      </c>
      <c r="AK788" s="31" t="s">
        <v>587</v>
      </c>
      <c r="AL788" s="31" t="s">
        <v>652</v>
      </c>
      <c r="AM788" s="31" t="s">
        <v>652</v>
      </c>
      <c r="AN788" s="31" t="s">
        <v>212</v>
      </c>
      <c r="AO788" s="31" t="s">
        <v>615</v>
      </c>
      <c r="AP788" s="31" t="s">
        <v>615</v>
      </c>
      <c r="AR788" s="31" t="s">
        <v>147</v>
      </c>
      <c r="AY788" s="64"/>
      <c r="EJ788" s="46"/>
      <c r="EL788" s="46"/>
      <c r="EP788" s="31">
        <v>12.5</v>
      </c>
      <c r="EQ788" s="31">
        <v>15.1</v>
      </c>
      <c r="ER788" s="31" t="s">
        <v>658</v>
      </c>
      <c r="EY788" s="31">
        <v>3.5000000000000003E-2</v>
      </c>
      <c r="EZ788" s="31">
        <v>2.5999999999999999E-2</v>
      </c>
      <c r="FA788" s="31" t="s">
        <v>657</v>
      </c>
      <c r="FH788" s="31">
        <f>239*0.614</f>
        <v>146.74600000000001</v>
      </c>
      <c r="FI788" s="31">
        <f>320*0.614</f>
        <v>196.48</v>
      </c>
      <c r="FK788" s="31">
        <f>26.1*0.614</f>
        <v>16.025400000000001</v>
      </c>
      <c r="FL788" s="31">
        <f>45.1*0.614</f>
        <v>27.691400000000002</v>
      </c>
      <c r="FR788" s="31" t="s">
        <v>822</v>
      </c>
      <c r="FT788" s="31">
        <v>38</v>
      </c>
    </row>
    <row r="789" spans="1:176" s="42" customFormat="1" x14ac:dyDescent="0.25">
      <c r="A789" s="42">
        <v>39</v>
      </c>
      <c r="B789" s="42" t="s">
        <v>659</v>
      </c>
      <c r="C789" s="42" t="s">
        <v>660</v>
      </c>
      <c r="D789" s="42">
        <v>2006</v>
      </c>
      <c r="E789" s="42">
        <v>2004</v>
      </c>
      <c r="F789" s="42" t="s">
        <v>155</v>
      </c>
      <c r="G789" s="42" t="s">
        <v>1784</v>
      </c>
      <c r="H789" s="42">
        <f t="shared" ref="H789:H790" si="208">41+26/60</f>
        <v>41.43333333333333</v>
      </c>
      <c r="I789" s="42">
        <f t="shared" ref="I789:I790" si="209">-85-23/60</f>
        <v>-85.38333333333334</v>
      </c>
      <c r="J789" s="42">
        <v>292.60000000000002</v>
      </c>
      <c r="P789" s="59">
        <v>1</v>
      </c>
      <c r="Q789" s="59"/>
      <c r="R789" s="59"/>
      <c r="S789" s="59" t="s">
        <v>1576</v>
      </c>
      <c r="T789" s="59" t="s">
        <v>1576</v>
      </c>
      <c r="U789" s="59" t="s">
        <v>1576</v>
      </c>
      <c r="V789" s="59" t="s">
        <v>1915</v>
      </c>
      <c r="Z789" s="42" t="s">
        <v>167</v>
      </c>
      <c r="AA789" s="42">
        <v>6.1</v>
      </c>
      <c r="AD789" s="42" t="s">
        <v>1490</v>
      </c>
      <c r="AE789" s="42" t="s">
        <v>1689</v>
      </c>
      <c r="AF789" s="152" t="s">
        <v>159</v>
      </c>
      <c r="AG789" s="42" t="s">
        <v>1767</v>
      </c>
      <c r="AH789" s="154" t="s">
        <v>1802</v>
      </c>
      <c r="AI789" s="42" t="s">
        <v>665</v>
      </c>
      <c r="AJ789" s="42" t="s">
        <v>664</v>
      </c>
      <c r="AK789" s="42" t="s">
        <v>587</v>
      </c>
      <c r="AL789" s="42" t="s">
        <v>663</v>
      </c>
      <c r="AM789" s="42" t="s">
        <v>663</v>
      </c>
      <c r="AN789" s="42" t="s">
        <v>212</v>
      </c>
      <c r="AO789" s="42" t="s">
        <v>662</v>
      </c>
      <c r="AP789" s="42" t="s">
        <v>661</v>
      </c>
      <c r="AQ789" s="42" t="s">
        <v>587</v>
      </c>
      <c r="AR789" s="42" t="s">
        <v>192</v>
      </c>
      <c r="AS789" s="42">
        <v>4</v>
      </c>
      <c r="AT789" s="42">
        <v>4</v>
      </c>
      <c r="AU789" s="42" t="s">
        <v>169</v>
      </c>
      <c r="AY789" s="63"/>
      <c r="AZ789" s="42" t="s">
        <v>667</v>
      </c>
      <c r="BJ789" s="42">
        <v>1.2370000000000001</v>
      </c>
      <c r="BK789" s="42">
        <v>1.35</v>
      </c>
      <c r="BL789" s="42" t="s">
        <v>195</v>
      </c>
      <c r="BM789" s="42">
        <v>1141</v>
      </c>
      <c r="BN789" s="42">
        <v>1277</v>
      </c>
      <c r="BO789" s="42" t="s">
        <v>272</v>
      </c>
      <c r="EJ789" s="47"/>
      <c r="EL789" s="47"/>
      <c r="FR789" s="42" t="s">
        <v>823</v>
      </c>
      <c r="FT789" s="42">
        <v>39</v>
      </c>
    </row>
    <row r="790" spans="1:176" s="42" customFormat="1" x14ac:dyDescent="0.25">
      <c r="A790" s="42">
        <v>39</v>
      </c>
      <c r="B790" s="42" t="s">
        <v>659</v>
      </c>
      <c r="C790" s="42" t="s">
        <v>660</v>
      </c>
      <c r="D790" s="42">
        <v>2006</v>
      </c>
      <c r="E790" s="42">
        <v>2004</v>
      </c>
      <c r="F790" s="42" t="s">
        <v>155</v>
      </c>
      <c r="G790" s="42" t="s">
        <v>1784</v>
      </c>
      <c r="H790" s="42">
        <f t="shared" si="208"/>
        <v>41.43333333333333</v>
      </c>
      <c r="I790" s="42">
        <f t="shared" si="209"/>
        <v>-85.38333333333334</v>
      </c>
      <c r="J790" s="42">
        <v>292.60000000000002</v>
      </c>
      <c r="P790" s="59">
        <v>1</v>
      </c>
      <c r="Q790" s="59"/>
      <c r="R790" s="59"/>
      <c r="S790" s="59" t="s">
        <v>1576</v>
      </c>
      <c r="T790" s="59" t="s">
        <v>1576</v>
      </c>
      <c r="U790" s="59" t="s">
        <v>1576</v>
      </c>
      <c r="V790" s="59" t="s">
        <v>1915</v>
      </c>
      <c r="Z790" s="42" t="s">
        <v>167</v>
      </c>
      <c r="AA790" s="42">
        <v>6.1</v>
      </c>
      <c r="AD790" s="42" t="s">
        <v>1490</v>
      </c>
      <c r="AE790" s="42" t="s">
        <v>1689</v>
      </c>
      <c r="AF790" s="152" t="s">
        <v>159</v>
      </c>
      <c r="AG790" s="42" t="s">
        <v>1767</v>
      </c>
      <c r="AH790" s="154" t="s">
        <v>1802</v>
      </c>
      <c r="AI790" s="42" t="s">
        <v>665</v>
      </c>
      <c r="AJ790" s="42" t="s">
        <v>664</v>
      </c>
      <c r="AK790" s="42" t="s">
        <v>587</v>
      </c>
      <c r="AL790" s="42" t="s">
        <v>663</v>
      </c>
      <c r="AM790" s="42" t="s">
        <v>663</v>
      </c>
      <c r="AN790" s="42" t="s">
        <v>212</v>
      </c>
      <c r="AO790" s="42" t="s">
        <v>662</v>
      </c>
      <c r="AP790" s="42" t="s">
        <v>666</v>
      </c>
      <c r="AQ790" s="42" t="s">
        <v>587</v>
      </c>
      <c r="AR790" s="42" t="s">
        <v>192</v>
      </c>
      <c r="AS790" s="42">
        <v>4</v>
      </c>
      <c r="AT790" s="42">
        <v>4</v>
      </c>
      <c r="AU790" s="42" t="s">
        <v>169</v>
      </c>
      <c r="AY790" s="63"/>
      <c r="AZ790" s="42" t="s">
        <v>668</v>
      </c>
      <c r="BJ790" s="42">
        <v>1.2370000000000001</v>
      </c>
      <c r="BK790" s="42">
        <v>1.4</v>
      </c>
      <c r="BL790" s="42" t="s">
        <v>195</v>
      </c>
      <c r="BM790" s="42">
        <v>1141</v>
      </c>
      <c r="BN790" s="42">
        <v>1335</v>
      </c>
      <c r="BO790" s="42" t="s">
        <v>272</v>
      </c>
      <c r="EJ790" s="47"/>
      <c r="EL790" s="47"/>
      <c r="FR790" s="42" t="s">
        <v>823</v>
      </c>
      <c r="FT790" s="42">
        <v>39</v>
      </c>
    </row>
    <row r="791" spans="1:176" s="38" customFormat="1" x14ac:dyDescent="0.25">
      <c r="A791" s="38">
        <v>40</v>
      </c>
      <c r="B791" s="38" t="s">
        <v>670</v>
      </c>
      <c r="C791" s="38" t="s">
        <v>671</v>
      </c>
      <c r="D791" s="38">
        <v>2015</v>
      </c>
      <c r="E791" s="38">
        <v>2013</v>
      </c>
      <c r="F791" s="38" t="s">
        <v>155</v>
      </c>
      <c r="G791" s="38" t="s">
        <v>682</v>
      </c>
      <c r="H791" s="38">
        <v>35.619999999999997</v>
      </c>
      <c r="I791" s="38">
        <v>-88.85</v>
      </c>
      <c r="J791" s="38">
        <v>107.7</v>
      </c>
      <c r="N791" s="38">
        <v>1375</v>
      </c>
      <c r="P791" s="57">
        <v>15</v>
      </c>
      <c r="Q791" s="57"/>
      <c r="R791" s="57"/>
      <c r="S791" s="57" t="s">
        <v>1556</v>
      </c>
      <c r="T791" s="57" t="s">
        <v>1556</v>
      </c>
      <c r="U791" s="57" t="s">
        <v>1556</v>
      </c>
      <c r="V791" s="57" t="s">
        <v>1904</v>
      </c>
      <c r="W791" s="38">
        <f t="shared" ref="W791:W796" si="210">(1.4+1.39+1.43)/3</f>
        <v>1.4066666666666665</v>
      </c>
      <c r="Z791" s="38" t="s">
        <v>531</v>
      </c>
      <c r="AD791" s="38" t="s">
        <v>1498</v>
      </c>
      <c r="AE791" s="38" t="s">
        <v>281</v>
      </c>
      <c r="AF791" s="152" t="s">
        <v>666</v>
      </c>
      <c r="AG791" s="38" t="s">
        <v>673</v>
      </c>
      <c r="AH791" s="155" t="s">
        <v>1797</v>
      </c>
      <c r="AR791" s="38" t="s">
        <v>192</v>
      </c>
      <c r="AS791" s="38">
        <v>4</v>
      </c>
      <c r="AT791" s="38">
        <v>4</v>
      </c>
      <c r="AU791" s="38" t="s">
        <v>379</v>
      </c>
      <c r="AY791" s="64"/>
      <c r="AZ791" s="38" t="s">
        <v>672</v>
      </c>
      <c r="BD791" s="38">
        <v>1375</v>
      </c>
      <c r="BE791" s="38">
        <v>1608</v>
      </c>
      <c r="BG791" s="38">
        <v>1.43</v>
      </c>
      <c r="BH791" s="38">
        <v>1.4</v>
      </c>
      <c r="BP791" s="38">
        <v>101.62</v>
      </c>
      <c r="BQ791" s="38">
        <v>78.61</v>
      </c>
      <c r="BS791" s="38">
        <v>233.55</v>
      </c>
      <c r="BT791" s="38">
        <v>199.67</v>
      </c>
      <c r="BV791" s="38">
        <v>5.44</v>
      </c>
      <c r="BW791" s="38">
        <v>5.4</v>
      </c>
      <c r="BY791" s="38">
        <v>99999</v>
      </c>
      <c r="BZ791" s="38">
        <v>99999</v>
      </c>
      <c r="CA791" s="38" t="s">
        <v>733</v>
      </c>
      <c r="DI791" s="38">
        <v>21.08</v>
      </c>
      <c r="DJ791" s="38">
        <v>23.69</v>
      </c>
      <c r="ED791" s="46">
        <v>27.94</v>
      </c>
      <c r="EE791" s="38">
        <v>28.6</v>
      </c>
      <c r="EF791" s="46" t="s">
        <v>674</v>
      </c>
      <c r="EG791" s="46"/>
      <c r="EH791" s="46"/>
      <c r="EI791" s="46"/>
      <c r="EY791" s="38">
        <f>4.45*0.0441</f>
        <v>0.196245</v>
      </c>
      <c r="EZ791" s="38">
        <f>6.24*0.0441</f>
        <v>0.27518399999999998</v>
      </c>
      <c r="FH791" s="38">
        <v>336.42</v>
      </c>
      <c r="FI791" s="38">
        <v>400.79</v>
      </c>
      <c r="FK791" s="38">
        <v>78.03</v>
      </c>
      <c r="FL791" s="38">
        <v>99.31</v>
      </c>
      <c r="FN791" s="38">
        <v>99999</v>
      </c>
      <c r="FO791" s="38">
        <v>99999</v>
      </c>
      <c r="FR791" s="38" t="s">
        <v>700</v>
      </c>
      <c r="FS791" s="38" t="s">
        <v>1042</v>
      </c>
      <c r="FT791" s="38">
        <v>40</v>
      </c>
    </row>
    <row r="792" spans="1:176" s="38" customFormat="1" x14ac:dyDescent="0.25">
      <c r="A792" s="38">
        <v>40</v>
      </c>
      <c r="B792" s="38" t="s">
        <v>670</v>
      </c>
      <c r="C792" s="38" t="s">
        <v>671</v>
      </c>
      <c r="D792" s="38">
        <v>2015</v>
      </c>
      <c r="E792" s="38">
        <v>2013</v>
      </c>
      <c r="F792" s="38" t="s">
        <v>155</v>
      </c>
      <c r="G792" s="38" t="s">
        <v>682</v>
      </c>
      <c r="H792" s="38">
        <v>35.619999999999997</v>
      </c>
      <c r="I792" s="38">
        <v>-88.85</v>
      </c>
      <c r="J792" s="38">
        <v>107.7</v>
      </c>
      <c r="N792" s="38">
        <v>1375</v>
      </c>
      <c r="P792" s="57">
        <v>15</v>
      </c>
      <c r="Q792" s="57"/>
      <c r="R792" s="57"/>
      <c r="S792" s="57" t="s">
        <v>1556</v>
      </c>
      <c r="T792" s="57" t="s">
        <v>1556</v>
      </c>
      <c r="U792" s="57" t="s">
        <v>1556</v>
      </c>
      <c r="V792" s="57" t="s">
        <v>1904</v>
      </c>
      <c r="W792" s="38">
        <f t="shared" si="210"/>
        <v>1.4066666666666665</v>
      </c>
      <c r="Z792" s="38" t="s">
        <v>531</v>
      </c>
      <c r="AD792" s="38" t="s">
        <v>1498</v>
      </c>
      <c r="AE792" s="38" t="s">
        <v>144</v>
      </c>
      <c r="AF792" s="152" t="s">
        <v>1761</v>
      </c>
      <c r="AG792" s="38" t="s">
        <v>673</v>
      </c>
      <c r="AH792" s="155" t="s">
        <v>1797</v>
      </c>
      <c r="AR792" s="38" t="s">
        <v>192</v>
      </c>
      <c r="AS792" s="38">
        <v>4</v>
      </c>
      <c r="AT792" s="38">
        <v>4</v>
      </c>
      <c r="AU792" s="38" t="s">
        <v>379</v>
      </c>
      <c r="AY792" s="64"/>
      <c r="AZ792" s="38" t="s">
        <v>672</v>
      </c>
      <c r="BD792" s="38">
        <v>1375</v>
      </c>
      <c r="BE792" s="38">
        <v>1344</v>
      </c>
      <c r="BG792" s="38">
        <v>1.43</v>
      </c>
      <c r="BH792" s="38">
        <v>1.39</v>
      </c>
      <c r="BP792" s="38">
        <v>101.62</v>
      </c>
      <c r="BQ792" s="38">
        <v>99.5</v>
      </c>
      <c r="BS792" s="38">
        <v>233.55</v>
      </c>
      <c r="BT792" s="38">
        <v>224.88</v>
      </c>
      <c r="BV792" s="38">
        <v>5.44</v>
      </c>
      <c r="BW792" s="38">
        <v>5.51</v>
      </c>
      <c r="BY792" s="38">
        <v>99999</v>
      </c>
      <c r="BZ792" s="38">
        <v>99999</v>
      </c>
      <c r="CA792" s="38" t="s">
        <v>733</v>
      </c>
      <c r="DI792" s="38">
        <v>21.08</v>
      </c>
      <c r="DJ792" s="38">
        <v>21.44</v>
      </c>
      <c r="ED792" s="46">
        <v>27.94</v>
      </c>
      <c r="EE792" s="38">
        <v>28.41</v>
      </c>
      <c r="EF792" s="46" t="s">
        <v>674</v>
      </c>
      <c r="EG792" s="46"/>
      <c r="EH792" s="46"/>
      <c r="EI792" s="46"/>
      <c r="EY792" s="38">
        <f>4.45*0.0441</f>
        <v>0.196245</v>
      </c>
      <c r="EZ792" s="38">
        <f>4.42*0.0441</f>
        <v>0.19492200000000001</v>
      </c>
      <c r="FH792" s="38">
        <v>336.42</v>
      </c>
      <c r="FI792" s="38">
        <v>351.74</v>
      </c>
      <c r="FK792" s="38">
        <v>78.03</v>
      </c>
      <c r="FL792" s="38">
        <v>78.819999999999993</v>
      </c>
      <c r="FN792" s="38">
        <v>99999</v>
      </c>
      <c r="FO792" s="38">
        <v>99999</v>
      </c>
      <c r="FR792" s="38" t="s">
        <v>700</v>
      </c>
      <c r="FS792" s="38" t="s">
        <v>1042</v>
      </c>
      <c r="FT792" s="38">
        <v>40</v>
      </c>
    </row>
    <row r="793" spans="1:176" s="31" customFormat="1" x14ac:dyDescent="0.25">
      <c r="A793" s="31">
        <v>40</v>
      </c>
      <c r="B793" s="31" t="s">
        <v>670</v>
      </c>
      <c r="C793" s="31" t="s">
        <v>671</v>
      </c>
      <c r="D793" s="31">
        <v>2015</v>
      </c>
      <c r="E793" s="31">
        <v>2013</v>
      </c>
      <c r="F793" s="31" t="s">
        <v>155</v>
      </c>
      <c r="G793" s="31" t="s">
        <v>682</v>
      </c>
      <c r="H793" s="31">
        <v>35.619999999999997</v>
      </c>
      <c r="I793" s="31">
        <v>-88.85</v>
      </c>
      <c r="J793" s="31">
        <v>107.7</v>
      </c>
      <c r="N793" s="31">
        <v>1375</v>
      </c>
      <c r="P793" s="56">
        <v>15</v>
      </c>
      <c r="Q793" s="56"/>
      <c r="R793" s="56"/>
      <c r="S793" s="56" t="s">
        <v>1556</v>
      </c>
      <c r="T793" s="56" t="s">
        <v>1556</v>
      </c>
      <c r="U793" s="56" t="s">
        <v>1556</v>
      </c>
      <c r="V793" s="56" t="s">
        <v>1904</v>
      </c>
      <c r="W793" s="31">
        <f t="shared" si="210"/>
        <v>1.4066666666666665</v>
      </c>
      <c r="Z793" s="31" t="s">
        <v>531</v>
      </c>
      <c r="AD793" s="31" t="s">
        <v>1498</v>
      </c>
      <c r="AE793" s="31" t="s">
        <v>281</v>
      </c>
      <c r="AF793" s="152" t="s">
        <v>666</v>
      </c>
      <c r="AG793" s="31" t="s">
        <v>673</v>
      </c>
      <c r="AH793" s="155" t="s">
        <v>1797</v>
      </c>
      <c r="AL793" s="31" t="s">
        <v>188</v>
      </c>
      <c r="AM793" s="31" t="s">
        <v>188</v>
      </c>
      <c r="AN793" s="31" t="s">
        <v>212</v>
      </c>
      <c r="AO793" s="31">
        <v>0</v>
      </c>
      <c r="AP793" s="31">
        <v>0</v>
      </c>
      <c r="AQ793" s="31" t="s">
        <v>212</v>
      </c>
      <c r="AR793" s="31" t="s">
        <v>192</v>
      </c>
      <c r="AS793" s="31">
        <v>4</v>
      </c>
      <c r="AT793" s="31">
        <v>4</v>
      </c>
      <c r="AU793" s="31" t="s">
        <v>379</v>
      </c>
      <c r="AZ793" s="31" t="s">
        <v>672</v>
      </c>
      <c r="BJ793" s="31">
        <f>9.98/10</f>
        <v>0.998</v>
      </c>
      <c r="BK793" s="31">
        <f>0.1*13.37</f>
        <v>1.337</v>
      </c>
      <c r="BL793" s="31" t="s">
        <v>1319</v>
      </c>
      <c r="BM793" s="31">
        <v>1.07</v>
      </c>
      <c r="BN793" s="31">
        <v>1.41</v>
      </c>
      <c r="BO793" s="31" t="s">
        <v>1862</v>
      </c>
      <c r="BY793" s="31">
        <v>99999</v>
      </c>
      <c r="BZ793" s="31">
        <v>99999</v>
      </c>
      <c r="CA793" s="31" t="s">
        <v>733</v>
      </c>
      <c r="ED793" s="31">
        <v>8.6199999999999992</v>
      </c>
      <c r="EE793" s="31">
        <v>8.66</v>
      </c>
      <c r="EF793" s="31" t="s">
        <v>1892</v>
      </c>
      <c r="EJ793" s="31">
        <v>98.5</v>
      </c>
      <c r="EK793" s="31">
        <v>70.16</v>
      </c>
      <c r="EL793" s="31" t="s">
        <v>1889</v>
      </c>
      <c r="FN793" s="31">
        <v>99999</v>
      </c>
      <c r="FO793" s="38">
        <v>99999</v>
      </c>
      <c r="FR793" s="31" t="s">
        <v>700</v>
      </c>
      <c r="FS793" s="31" t="s">
        <v>1042</v>
      </c>
      <c r="FT793" s="31">
        <v>40</v>
      </c>
    </row>
    <row r="794" spans="1:176" s="31" customFormat="1" x14ac:dyDescent="0.25">
      <c r="A794" s="31">
        <v>40</v>
      </c>
      <c r="B794" s="31" t="s">
        <v>670</v>
      </c>
      <c r="C794" s="31" t="s">
        <v>671</v>
      </c>
      <c r="D794" s="31">
        <v>2015</v>
      </c>
      <c r="E794" s="31">
        <v>2013</v>
      </c>
      <c r="F794" s="31" t="s">
        <v>155</v>
      </c>
      <c r="G794" s="31" t="s">
        <v>682</v>
      </c>
      <c r="H794" s="31">
        <v>35.619999999999997</v>
      </c>
      <c r="I794" s="31">
        <v>-88.85</v>
      </c>
      <c r="J794" s="31">
        <v>107.7</v>
      </c>
      <c r="N794" s="31">
        <v>1375</v>
      </c>
      <c r="P794" s="56">
        <v>15</v>
      </c>
      <c r="Q794" s="56"/>
      <c r="R794" s="56"/>
      <c r="S794" s="56" t="s">
        <v>1556</v>
      </c>
      <c r="T794" s="56" t="s">
        <v>1556</v>
      </c>
      <c r="U794" s="56" t="s">
        <v>1556</v>
      </c>
      <c r="V794" s="56" t="s">
        <v>1904</v>
      </c>
      <c r="W794" s="31">
        <f t="shared" si="210"/>
        <v>1.4066666666666665</v>
      </c>
      <c r="Z794" s="31" t="s">
        <v>531</v>
      </c>
      <c r="AD794" s="31" t="s">
        <v>1498</v>
      </c>
      <c r="AE794" s="31" t="s">
        <v>144</v>
      </c>
      <c r="AF794" s="152" t="s">
        <v>1761</v>
      </c>
      <c r="AG794" s="31" t="s">
        <v>673</v>
      </c>
      <c r="AH794" s="155" t="s">
        <v>1797</v>
      </c>
      <c r="AL794" s="31" t="s">
        <v>188</v>
      </c>
      <c r="AM794" s="31" t="s">
        <v>188</v>
      </c>
      <c r="AN794" s="31" t="s">
        <v>212</v>
      </c>
      <c r="AO794" s="31">
        <v>0</v>
      </c>
      <c r="AP794" s="31">
        <v>0</v>
      </c>
      <c r="AQ794" s="31" t="s">
        <v>212</v>
      </c>
      <c r="AR794" s="31" t="s">
        <v>192</v>
      </c>
      <c r="AS794" s="31">
        <v>4</v>
      </c>
      <c r="AT794" s="31">
        <v>4</v>
      </c>
      <c r="AU794" s="31" t="s">
        <v>379</v>
      </c>
      <c r="AZ794" s="31" t="s">
        <v>672</v>
      </c>
      <c r="BJ794" s="31">
        <f>9.98/10</f>
        <v>0.998</v>
      </c>
      <c r="BK794" s="31">
        <f>0.1*10.96</f>
        <v>1.0960000000000001</v>
      </c>
      <c r="BL794" s="31" t="s">
        <v>1319</v>
      </c>
      <c r="BM794" s="31">
        <v>1.07</v>
      </c>
      <c r="BN794" s="31">
        <v>1.1000000000000001</v>
      </c>
      <c r="BO794" s="31" t="s">
        <v>1862</v>
      </c>
      <c r="BY794" s="31">
        <v>99999</v>
      </c>
      <c r="BZ794" s="31">
        <v>99999</v>
      </c>
      <c r="CA794" s="31" t="s">
        <v>733</v>
      </c>
      <c r="ED794" s="31">
        <v>8.6199999999999992</v>
      </c>
      <c r="EE794" s="31">
        <v>8.6</v>
      </c>
      <c r="EF794" s="31" t="s">
        <v>1892</v>
      </c>
      <c r="EJ794" s="31">
        <v>98.5</v>
      </c>
      <c r="EK794" s="31">
        <v>82.91</v>
      </c>
      <c r="EL794" s="31" t="s">
        <v>1889</v>
      </c>
      <c r="FN794" s="31">
        <v>99999</v>
      </c>
      <c r="FO794" s="38">
        <v>99999</v>
      </c>
      <c r="FR794" s="31" t="s">
        <v>700</v>
      </c>
      <c r="FS794" s="31" t="s">
        <v>1042</v>
      </c>
      <c r="FT794" s="31">
        <v>40</v>
      </c>
    </row>
    <row r="795" spans="1:176" s="31" customFormat="1" x14ac:dyDescent="0.25">
      <c r="A795" s="31">
        <v>40</v>
      </c>
      <c r="B795" s="31" t="s">
        <v>670</v>
      </c>
      <c r="C795" s="31" t="s">
        <v>671</v>
      </c>
      <c r="D795" s="31">
        <v>2015</v>
      </c>
      <c r="E795" s="31">
        <v>2013</v>
      </c>
      <c r="F795" s="31" t="s">
        <v>155</v>
      </c>
      <c r="G795" s="31" t="s">
        <v>682</v>
      </c>
      <c r="H795" s="31">
        <v>35.619999999999997</v>
      </c>
      <c r="I795" s="31">
        <v>-88.85</v>
      </c>
      <c r="J795" s="31">
        <v>107.7</v>
      </c>
      <c r="N795" s="31">
        <v>1375</v>
      </c>
      <c r="P795" s="56">
        <v>15</v>
      </c>
      <c r="Q795" s="56"/>
      <c r="R795" s="56"/>
      <c r="S795" s="56" t="s">
        <v>1556</v>
      </c>
      <c r="T795" s="56" t="s">
        <v>1556</v>
      </c>
      <c r="U795" s="56" t="s">
        <v>1556</v>
      </c>
      <c r="V795" s="56" t="s">
        <v>1904</v>
      </c>
      <c r="W795" s="31">
        <f t="shared" si="210"/>
        <v>1.4066666666666665</v>
      </c>
      <c r="Z795" s="31" t="s">
        <v>531</v>
      </c>
      <c r="AD795" s="31" t="s">
        <v>1498</v>
      </c>
      <c r="AE795" s="31" t="s">
        <v>281</v>
      </c>
      <c r="AF795" s="152" t="s">
        <v>666</v>
      </c>
      <c r="AG795" s="31" t="s">
        <v>673</v>
      </c>
      <c r="AH795" s="155" t="s">
        <v>1797</v>
      </c>
      <c r="AL795" s="31" t="s">
        <v>675</v>
      </c>
      <c r="AM795" s="31" t="s">
        <v>675</v>
      </c>
      <c r="AN795" s="31" t="s">
        <v>212</v>
      </c>
      <c r="AO795" s="31">
        <v>0</v>
      </c>
      <c r="AP795" s="31">
        <v>0</v>
      </c>
      <c r="AQ795" s="31" t="s">
        <v>212</v>
      </c>
      <c r="AR795" s="31" t="s">
        <v>192</v>
      </c>
      <c r="AS795" s="31">
        <v>4</v>
      </c>
      <c r="AT795" s="31">
        <v>4</v>
      </c>
      <c r="AU795" s="31" t="s">
        <v>379</v>
      </c>
      <c r="AZ795" s="31" t="s">
        <v>672</v>
      </c>
      <c r="BJ795" s="31">
        <f>8.82/10</f>
        <v>0.88200000000000001</v>
      </c>
      <c r="BK795" s="31">
        <f>0.1*9.76</f>
        <v>0.97599999999999998</v>
      </c>
      <c r="BL795" s="31" t="s">
        <v>1319</v>
      </c>
      <c r="BM795" s="31">
        <v>0.95</v>
      </c>
      <c r="BN795" s="31">
        <v>1.1000000000000001</v>
      </c>
      <c r="BO795" s="31" t="s">
        <v>1862</v>
      </c>
      <c r="BY795" s="31">
        <v>99999</v>
      </c>
      <c r="BZ795" s="31">
        <v>99999</v>
      </c>
      <c r="CA795" s="31" t="s">
        <v>733</v>
      </c>
      <c r="ED795" s="31">
        <v>3.93</v>
      </c>
      <c r="EE795" s="31">
        <v>3.01</v>
      </c>
      <c r="EF795" s="31" t="s">
        <v>1893</v>
      </c>
      <c r="EJ795" s="31">
        <v>81.599999999999994</v>
      </c>
      <c r="EK795" s="31">
        <v>53.26</v>
      </c>
      <c r="EL795" s="31" t="s">
        <v>1889</v>
      </c>
      <c r="FN795" s="31">
        <v>99999</v>
      </c>
      <c r="FO795" s="38">
        <v>99999</v>
      </c>
      <c r="FR795" s="31" t="s">
        <v>700</v>
      </c>
      <c r="FS795" s="31" t="s">
        <v>1042</v>
      </c>
      <c r="FT795" s="31">
        <v>40</v>
      </c>
    </row>
    <row r="796" spans="1:176" s="31" customFormat="1" x14ac:dyDescent="0.25">
      <c r="A796" s="31">
        <v>40</v>
      </c>
      <c r="B796" s="31" t="s">
        <v>670</v>
      </c>
      <c r="C796" s="31" t="s">
        <v>671</v>
      </c>
      <c r="D796" s="31">
        <v>2015</v>
      </c>
      <c r="E796" s="31">
        <v>2013</v>
      </c>
      <c r="F796" s="31" t="s">
        <v>155</v>
      </c>
      <c r="G796" s="31" t="s">
        <v>682</v>
      </c>
      <c r="H796" s="31">
        <v>35.619999999999997</v>
      </c>
      <c r="I796" s="31">
        <v>-88.85</v>
      </c>
      <c r="J796" s="31">
        <v>107.7</v>
      </c>
      <c r="N796" s="31">
        <v>1375</v>
      </c>
      <c r="P796" s="56">
        <v>15</v>
      </c>
      <c r="Q796" s="56"/>
      <c r="R796" s="56"/>
      <c r="S796" s="56" t="s">
        <v>1556</v>
      </c>
      <c r="T796" s="56" t="s">
        <v>1556</v>
      </c>
      <c r="U796" s="56" t="s">
        <v>1556</v>
      </c>
      <c r="V796" s="56" t="s">
        <v>1904</v>
      </c>
      <c r="W796" s="31">
        <f t="shared" si="210"/>
        <v>1.4066666666666665</v>
      </c>
      <c r="Z796" s="31" t="s">
        <v>531</v>
      </c>
      <c r="AD796" s="31" t="s">
        <v>1498</v>
      </c>
      <c r="AE796" s="31" t="s">
        <v>144</v>
      </c>
      <c r="AF796" s="152" t="s">
        <v>1761</v>
      </c>
      <c r="AG796" s="31" t="s">
        <v>673</v>
      </c>
      <c r="AH796" s="155" t="s">
        <v>1797</v>
      </c>
      <c r="AL796" s="31" t="s">
        <v>675</v>
      </c>
      <c r="AM796" s="31" t="s">
        <v>675</v>
      </c>
      <c r="AN796" s="31" t="s">
        <v>212</v>
      </c>
      <c r="AO796" s="31">
        <v>0</v>
      </c>
      <c r="AP796" s="31">
        <v>0</v>
      </c>
      <c r="AQ796" s="31" t="s">
        <v>212</v>
      </c>
      <c r="AR796" s="31" t="s">
        <v>192</v>
      </c>
      <c r="AS796" s="31">
        <v>4</v>
      </c>
      <c r="AT796" s="31">
        <v>4</v>
      </c>
      <c r="AU796" s="31" t="s">
        <v>379</v>
      </c>
      <c r="AZ796" s="31" t="s">
        <v>672</v>
      </c>
      <c r="BJ796" s="31">
        <f>8.82/10</f>
        <v>0.88200000000000001</v>
      </c>
      <c r="BK796" s="31">
        <f>0.1*7.6</f>
        <v>0.76</v>
      </c>
      <c r="BL796" s="31" t="s">
        <v>1319</v>
      </c>
      <c r="BM796" s="31">
        <v>0.95</v>
      </c>
      <c r="BN796" s="31">
        <v>0.78</v>
      </c>
      <c r="BO796" s="31" t="s">
        <v>1862</v>
      </c>
      <c r="BY796" s="31">
        <v>99999</v>
      </c>
      <c r="BZ796" s="31">
        <v>99999</v>
      </c>
      <c r="CA796" s="31" t="s">
        <v>733</v>
      </c>
      <c r="ED796" s="31">
        <v>3.93</v>
      </c>
      <c r="EE796" s="31">
        <v>3.9</v>
      </c>
      <c r="EF796" s="31" t="s">
        <v>1893</v>
      </c>
      <c r="EJ796" s="31">
        <v>81.599999999999994</v>
      </c>
      <c r="EK796" s="31">
        <v>59.16</v>
      </c>
      <c r="EL796" s="31" t="s">
        <v>1889</v>
      </c>
      <c r="FN796" s="31">
        <v>99999</v>
      </c>
      <c r="FO796" s="38">
        <v>99999</v>
      </c>
      <c r="FR796" s="31" t="s">
        <v>700</v>
      </c>
      <c r="FS796" s="31" t="s">
        <v>1042</v>
      </c>
      <c r="FT796" s="31">
        <v>40</v>
      </c>
    </row>
    <row r="797" spans="1:176" s="38" customFormat="1" x14ac:dyDescent="0.25">
      <c r="A797" s="38">
        <v>40</v>
      </c>
      <c r="B797" s="38" t="s">
        <v>670</v>
      </c>
      <c r="C797" s="38" t="s">
        <v>671</v>
      </c>
      <c r="D797" s="38">
        <v>2015</v>
      </c>
      <c r="E797" s="38">
        <v>2013</v>
      </c>
      <c r="F797" s="38" t="s">
        <v>155</v>
      </c>
      <c r="G797" s="38" t="s">
        <v>682</v>
      </c>
      <c r="H797" s="38">
        <v>35.619999999999997</v>
      </c>
      <c r="I797" s="38">
        <v>-88.85</v>
      </c>
      <c r="J797" s="38">
        <v>107.7</v>
      </c>
      <c r="N797" s="38">
        <v>1375</v>
      </c>
      <c r="P797" s="57">
        <v>15</v>
      </c>
      <c r="Q797" s="57"/>
      <c r="R797" s="57"/>
      <c r="S797" s="57" t="s">
        <v>1556</v>
      </c>
      <c r="T797" s="57" t="s">
        <v>1556</v>
      </c>
      <c r="U797" s="57" t="s">
        <v>1556</v>
      </c>
      <c r="V797" s="57" t="s">
        <v>1904</v>
      </c>
      <c r="W797" s="38">
        <f t="shared" ref="W797:W808" si="211">(1.4+1.39+1.43)/3</f>
        <v>1.4066666666666665</v>
      </c>
      <c r="Z797" s="38" t="s">
        <v>531</v>
      </c>
      <c r="AD797" s="38" t="s">
        <v>1498</v>
      </c>
      <c r="AE797" s="38" t="s">
        <v>281</v>
      </c>
      <c r="AF797" s="152" t="s">
        <v>666</v>
      </c>
      <c r="AG797" s="38" t="s">
        <v>673</v>
      </c>
      <c r="AH797" s="155" t="s">
        <v>1797</v>
      </c>
      <c r="AL797" s="38" t="s">
        <v>188</v>
      </c>
      <c r="AM797" s="38" t="s">
        <v>188</v>
      </c>
      <c r="AN797" s="38" t="s">
        <v>212</v>
      </c>
      <c r="AO797" s="38">
        <v>34</v>
      </c>
      <c r="AP797" s="38">
        <v>34</v>
      </c>
      <c r="AQ797" s="38" t="s">
        <v>212</v>
      </c>
      <c r="AR797" s="38" t="s">
        <v>192</v>
      </c>
      <c r="AS797" s="38">
        <v>4</v>
      </c>
      <c r="AT797" s="38">
        <v>4</v>
      </c>
      <c r="AU797" s="38" t="s">
        <v>379</v>
      </c>
      <c r="AY797" s="64"/>
      <c r="AZ797" s="38" t="s">
        <v>672</v>
      </c>
      <c r="BJ797" s="38">
        <f>10.82/10</f>
        <v>1.0820000000000001</v>
      </c>
      <c r="BK797" s="38">
        <f>0.1*13.07</f>
        <v>1.3070000000000002</v>
      </c>
      <c r="BL797" s="38" t="s">
        <v>1319</v>
      </c>
      <c r="BM797" s="38">
        <v>1.04</v>
      </c>
      <c r="BN797" s="38">
        <v>1.29</v>
      </c>
      <c r="BO797" s="38" t="s">
        <v>1862</v>
      </c>
      <c r="BY797" s="38">
        <v>99999</v>
      </c>
      <c r="BZ797" s="38">
        <v>99999</v>
      </c>
      <c r="CA797" s="38" t="s">
        <v>733</v>
      </c>
      <c r="ED797" s="38">
        <v>0.31</v>
      </c>
      <c r="EE797" s="38">
        <v>0.3</v>
      </c>
      <c r="EF797" s="38" t="s">
        <v>1894</v>
      </c>
      <c r="EJ797" s="38">
        <v>90.9</v>
      </c>
      <c r="EK797" s="38">
        <v>84.19</v>
      </c>
      <c r="EL797" s="38" t="s">
        <v>1889</v>
      </c>
      <c r="FN797" s="38">
        <v>99999</v>
      </c>
      <c r="FO797" s="38">
        <v>99999</v>
      </c>
      <c r="FR797" s="38" t="s">
        <v>700</v>
      </c>
      <c r="FS797" s="38" t="s">
        <v>1042</v>
      </c>
      <c r="FT797" s="38">
        <v>40</v>
      </c>
    </row>
    <row r="798" spans="1:176" s="38" customFormat="1" x14ac:dyDescent="0.25">
      <c r="A798" s="38">
        <v>40</v>
      </c>
      <c r="B798" s="38" t="s">
        <v>670</v>
      </c>
      <c r="C798" s="38" t="s">
        <v>671</v>
      </c>
      <c r="D798" s="38">
        <v>2015</v>
      </c>
      <c r="E798" s="38">
        <v>2013</v>
      </c>
      <c r="F798" s="38" t="s">
        <v>155</v>
      </c>
      <c r="G798" s="38" t="s">
        <v>682</v>
      </c>
      <c r="H798" s="38">
        <v>35.619999999999997</v>
      </c>
      <c r="I798" s="38">
        <v>-88.85</v>
      </c>
      <c r="J798" s="38">
        <v>107.7</v>
      </c>
      <c r="N798" s="38">
        <v>1375</v>
      </c>
      <c r="P798" s="57">
        <v>15</v>
      </c>
      <c r="Q798" s="57"/>
      <c r="R798" s="57"/>
      <c r="S798" s="57" t="s">
        <v>1556</v>
      </c>
      <c r="T798" s="57" t="s">
        <v>1556</v>
      </c>
      <c r="U798" s="57" t="s">
        <v>1556</v>
      </c>
      <c r="V798" s="57" t="s">
        <v>1904</v>
      </c>
      <c r="W798" s="38">
        <f t="shared" si="211"/>
        <v>1.4066666666666665</v>
      </c>
      <c r="Z798" s="38" t="s">
        <v>531</v>
      </c>
      <c r="AD798" s="38" t="s">
        <v>1498</v>
      </c>
      <c r="AE798" s="38" t="s">
        <v>144</v>
      </c>
      <c r="AF798" s="152" t="s">
        <v>1761</v>
      </c>
      <c r="AG798" s="38" t="s">
        <v>673</v>
      </c>
      <c r="AH798" s="155" t="s">
        <v>1797</v>
      </c>
      <c r="AL798" s="38" t="s">
        <v>188</v>
      </c>
      <c r="AM798" s="38" t="s">
        <v>188</v>
      </c>
      <c r="AN798" s="38" t="s">
        <v>212</v>
      </c>
      <c r="AO798" s="38">
        <v>34</v>
      </c>
      <c r="AP798" s="38">
        <v>34</v>
      </c>
      <c r="AQ798" s="38" t="s">
        <v>212</v>
      </c>
      <c r="AR798" s="38" t="s">
        <v>192</v>
      </c>
      <c r="AS798" s="38">
        <v>4</v>
      </c>
      <c r="AT798" s="38">
        <v>4</v>
      </c>
      <c r="AU798" s="38" t="s">
        <v>379</v>
      </c>
      <c r="AY798" s="64"/>
      <c r="AZ798" s="38" t="s">
        <v>672</v>
      </c>
      <c r="BJ798" s="38">
        <f>0.1*10.82</f>
        <v>1.0820000000000001</v>
      </c>
      <c r="BK798" s="38">
        <f>0.1*14.62</f>
        <v>1.462</v>
      </c>
      <c r="BL798" s="38" t="s">
        <v>1319</v>
      </c>
      <c r="BM798" s="38">
        <v>1.04</v>
      </c>
      <c r="BN798" s="38">
        <v>1.3</v>
      </c>
      <c r="BO798" s="38" t="s">
        <v>1862</v>
      </c>
      <c r="BY798" s="38">
        <v>99999</v>
      </c>
      <c r="BZ798" s="38">
        <v>99999</v>
      </c>
      <c r="CA798" s="38" t="s">
        <v>733</v>
      </c>
      <c r="ED798" s="38">
        <v>0.31</v>
      </c>
      <c r="EE798" s="38">
        <v>0.3</v>
      </c>
      <c r="EF798" s="38" t="s">
        <v>1894</v>
      </c>
      <c r="EJ798" s="38">
        <v>90.9</v>
      </c>
      <c r="EK798" s="38">
        <v>112.79</v>
      </c>
      <c r="EL798" s="38" t="s">
        <v>1889</v>
      </c>
      <c r="FN798" s="38">
        <v>99999</v>
      </c>
      <c r="FO798" s="38">
        <v>99999</v>
      </c>
      <c r="FR798" s="38" t="s">
        <v>700</v>
      </c>
      <c r="FS798" s="38" t="s">
        <v>1042</v>
      </c>
      <c r="FT798" s="38">
        <v>40</v>
      </c>
    </row>
    <row r="799" spans="1:176" s="38" customFormat="1" x14ac:dyDescent="0.25">
      <c r="A799" s="38">
        <v>40</v>
      </c>
      <c r="B799" s="38" t="s">
        <v>670</v>
      </c>
      <c r="C799" s="38" t="s">
        <v>671</v>
      </c>
      <c r="D799" s="38">
        <v>2015</v>
      </c>
      <c r="E799" s="38">
        <v>2013</v>
      </c>
      <c r="F799" s="38" t="s">
        <v>155</v>
      </c>
      <c r="G799" s="38" t="s">
        <v>682</v>
      </c>
      <c r="H799" s="38">
        <v>35.619999999999997</v>
      </c>
      <c r="I799" s="38">
        <v>-88.85</v>
      </c>
      <c r="J799" s="38">
        <v>107.7</v>
      </c>
      <c r="N799" s="38">
        <v>1375</v>
      </c>
      <c r="P799" s="57">
        <v>15</v>
      </c>
      <c r="Q799" s="57"/>
      <c r="R799" s="57"/>
      <c r="S799" s="57" t="s">
        <v>1556</v>
      </c>
      <c r="T799" s="57" t="s">
        <v>1556</v>
      </c>
      <c r="U799" s="57" t="s">
        <v>1556</v>
      </c>
      <c r="V799" s="57" t="s">
        <v>1904</v>
      </c>
      <c r="W799" s="38">
        <f t="shared" si="211"/>
        <v>1.4066666666666665</v>
      </c>
      <c r="Z799" s="38" t="s">
        <v>531</v>
      </c>
      <c r="AD799" s="38" t="s">
        <v>1498</v>
      </c>
      <c r="AE799" s="38" t="s">
        <v>281</v>
      </c>
      <c r="AF799" s="152" t="s">
        <v>666</v>
      </c>
      <c r="AG799" s="38" t="s">
        <v>673</v>
      </c>
      <c r="AH799" s="155" t="s">
        <v>1797</v>
      </c>
      <c r="AL799" s="38" t="s">
        <v>675</v>
      </c>
      <c r="AM799" s="38" t="s">
        <v>675</v>
      </c>
      <c r="AN799" s="38" t="s">
        <v>212</v>
      </c>
      <c r="AO799" s="38">
        <v>34</v>
      </c>
      <c r="AP799" s="38">
        <v>34</v>
      </c>
      <c r="AQ799" s="38" t="s">
        <v>212</v>
      </c>
      <c r="AR799" s="38" t="s">
        <v>192</v>
      </c>
      <c r="AS799" s="38">
        <v>4</v>
      </c>
      <c r="AT799" s="38">
        <v>4</v>
      </c>
      <c r="AU799" s="38" t="s">
        <v>379</v>
      </c>
      <c r="AY799" s="64"/>
      <c r="AZ799" s="38" t="s">
        <v>672</v>
      </c>
      <c r="BJ799" s="38">
        <f>0.1*9.57</f>
        <v>0.95700000000000007</v>
      </c>
      <c r="BK799" s="38">
        <f>0.1*10.09</f>
        <v>1.0090000000000001</v>
      </c>
      <c r="BL799" s="38" t="s">
        <v>1319</v>
      </c>
      <c r="BM799" s="38">
        <v>0.97</v>
      </c>
      <c r="BN799" s="38">
        <v>1</v>
      </c>
      <c r="BO799" s="38" t="s">
        <v>1862</v>
      </c>
      <c r="BY799" s="38">
        <v>99999</v>
      </c>
      <c r="BZ799" s="38">
        <v>99999</v>
      </c>
      <c r="CA799" s="38" t="s">
        <v>733</v>
      </c>
      <c r="EJ799" s="38">
        <v>73.28</v>
      </c>
      <c r="EK799" s="38">
        <v>66.22</v>
      </c>
      <c r="EL799" s="38" t="s">
        <v>1889</v>
      </c>
      <c r="FN799" s="38">
        <v>99999</v>
      </c>
      <c r="FO799" s="38">
        <v>99999</v>
      </c>
      <c r="FR799" s="38" t="s">
        <v>700</v>
      </c>
      <c r="FS799" s="38" t="s">
        <v>1042</v>
      </c>
      <c r="FT799" s="38">
        <v>40</v>
      </c>
    </row>
    <row r="800" spans="1:176" s="38" customFormat="1" x14ac:dyDescent="0.25">
      <c r="A800" s="38">
        <v>40</v>
      </c>
      <c r="B800" s="38" t="s">
        <v>670</v>
      </c>
      <c r="C800" s="38" t="s">
        <v>671</v>
      </c>
      <c r="D800" s="38">
        <v>2015</v>
      </c>
      <c r="E800" s="38">
        <v>2013</v>
      </c>
      <c r="F800" s="38" t="s">
        <v>155</v>
      </c>
      <c r="G800" s="38" t="s">
        <v>682</v>
      </c>
      <c r="H800" s="38">
        <v>35.619999999999997</v>
      </c>
      <c r="I800" s="38">
        <v>-88.85</v>
      </c>
      <c r="J800" s="38">
        <v>107.7</v>
      </c>
      <c r="N800" s="38">
        <v>1375</v>
      </c>
      <c r="P800" s="57">
        <v>15</v>
      </c>
      <c r="Q800" s="57"/>
      <c r="R800" s="57"/>
      <c r="S800" s="57" t="s">
        <v>1556</v>
      </c>
      <c r="T800" s="57" t="s">
        <v>1556</v>
      </c>
      <c r="U800" s="57" t="s">
        <v>1556</v>
      </c>
      <c r="V800" s="57" t="s">
        <v>1904</v>
      </c>
      <c r="W800" s="38">
        <f t="shared" si="211"/>
        <v>1.4066666666666665</v>
      </c>
      <c r="Z800" s="38" t="s">
        <v>531</v>
      </c>
      <c r="AD800" s="38" t="s">
        <v>1498</v>
      </c>
      <c r="AE800" s="38" t="s">
        <v>144</v>
      </c>
      <c r="AF800" s="152" t="s">
        <v>1761</v>
      </c>
      <c r="AG800" s="38" t="s">
        <v>673</v>
      </c>
      <c r="AH800" s="155" t="s">
        <v>1797</v>
      </c>
      <c r="AL800" s="38" t="s">
        <v>675</v>
      </c>
      <c r="AM800" s="38" t="s">
        <v>675</v>
      </c>
      <c r="AN800" s="38" t="s">
        <v>212</v>
      </c>
      <c r="AO800" s="38">
        <v>34</v>
      </c>
      <c r="AP800" s="38">
        <v>34</v>
      </c>
      <c r="AQ800" s="38" t="s">
        <v>212</v>
      </c>
      <c r="AR800" s="38" t="s">
        <v>192</v>
      </c>
      <c r="AS800" s="38">
        <v>4</v>
      </c>
      <c r="AT800" s="38">
        <v>4</v>
      </c>
      <c r="AU800" s="38" t="s">
        <v>379</v>
      </c>
      <c r="AY800" s="64"/>
      <c r="AZ800" s="38" t="s">
        <v>672</v>
      </c>
      <c r="BJ800" s="38">
        <f>0.1*9.57</f>
        <v>0.95700000000000007</v>
      </c>
      <c r="BK800" s="38">
        <f>0.1*9.05</f>
        <v>0.90500000000000014</v>
      </c>
      <c r="BL800" s="38" t="s">
        <v>1319</v>
      </c>
      <c r="BM800" s="38">
        <v>0.97</v>
      </c>
      <c r="BN800" s="38">
        <v>1.01</v>
      </c>
      <c r="BO800" s="38" t="s">
        <v>1862</v>
      </c>
      <c r="BY800" s="38">
        <v>99999</v>
      </c>
      <c r="BZ800" s="38">
        <v>99999</v>
      </c>
      <c r="CA800" s="38" t="s">
        <v>733</v>
      </c>
      <c r="EJ800" s="38">
        <v>73.28</v>
      </c>
      <c r="EK800" s="38">
        <v>51.57</v>
      </c>
      <c r="EL800" s="38" t="s">
        <v>1889</v>
      </c>
      <c r="FN800" s="38">
        <v>99999</v>
      </c>
      <c r="FO800" s="38">
        <v>99999</v>
      </c>
      <c r="FR800" s="38" t="s">
        <v>700</v>
      </c>
      <c r="FS800" s="38" t="s">
        <v>1042</v>
      </c>
      <c r="FT800" s="38">
        <v>40</v>
      </c>
    </row>
    <row r="801" spans="1:176" s="31" customFormat="1" x14ac:dyDescent="0.25">
      <c r="A801" s="31">
        <v>40</v>
      </c>
      <c r="B801" s="31" t="s">
        <v>670</v>
      </c>
      <c r="C801" s="31" t="s">
        <v>671</v>
      </c>
      <c r="D801" s="31">
        <v>2015</v>
      </c>
      <c r="E801" s="31">
        <v>2013</v>
      </c>
      <c r="F801" s="31" t="s">
        <v>155</v>
      </c>
      <c r="G801" s="31" t="s">
        <v>682</v>
      </c>
      <c r="H801" s="31">
        <v>35.619999999999997</v>
      </c>
      <c r="I801" s="31">
        <v>-88.85</v>
      </c>
      <c r="J801" s="31">
        <v>107.7</v>
      </c>
      <c r="N801" s="31">
        <v>1375</v>
      </c>
      <c r="P801" s="56">
        <v>15</v>
      </c>
      <c r="Q801" s="56"/>
      <c r="R801" s="56"/>
      <c r="S801" s="56" t="s">
        <v>1556</v>
      </c>
      <c r="T801" s="56" t="s">
        <v>1556</v>
      </c>
      <c r="U801" s="56" t="s">
        <v>1556</v>
      </c>
      <c r="V801" s="56" t="s">
        <v>1904</v>
      </c>
      <c r="W801" s="31">
        <f t="shared" si="211"/>
        <v>1.4066666666666665</v>
      </c>
      <c r="Z801" s="31" t="s">
        <v>531</v>
      </c>
      <c r="AD801" s="31" t="s">
        <v>1498</v>
      </c>
      <c r="AE801" s="31" t="s">
        <v>281</v>
      </c>
      <c r="AF801" s="152" t="s">
        <v>666</v>
      </c>
      <c r="AG801" s="31" t="s">
        <v>673</v>
      </c>
      <c r="AH801" s="155" t="s">
        <v>1797</v>
      </c>
      <c r="AL801" s="31" t="s">
        <v>188</v>
      </c>
      <c r="AM801" s="31" t="s">
        <v>188</v>
      </c>
      <c r="AN801" s="31" t="s">
        <v>212</v>
      </c>
      <c r="AO801" s="31">
        <v>67</v>
      </c>
      <c r="AP801" s="31">
        <v>67</v>
      </c>
      <c r="AQ801" s="31" t="s">
        <v>212</v>
      </c>
      <c r="AR801" s="31" t="s">
        <v>192</v>
      </c>
      <c r="AS801" s="31">
        <v>4</v>
      </c>
      <c r="AT801" s="31">
        <v>4</v>
      </c>
      <c r="AU801" s="31" t="s">
        <v>379</v>
      </c>
      <c r="AZ801" s="31" t="s">
        <v>672</v>
      </c>
      <c r="BJ801" s="31">
        <f>0.1*10.08</f>
        <v>1.008</v>
      </c>
      <c r="BK801" s="31">
        <f>0.1*12.93</f>
        <v>1.2930000000000001</v>
      </c>
      <c r="BL801" s="31" t="s">
        <v>1319</v>
      </c>
      <c r="BM801" s="31">
        <v>1.06</v>
      </c>
      <c r="BN801" s="31">
        <v>1.34</v>
      </c>
      <c r="BO801" s="31" t="s">
        <v>1862</v>
      </c>
      <c r="BY801" s="31">
        <v>99999</v>
      </c>
      <c r="BZ801" s="31">
        <v>99999</v>
      </c>
      <c r="CA801" s="31" t="s">
        <v>733</v>
      </c>
      <c r="EJ801" s="31">
        <v>82.24</v>
      </c>
      <c r="EK801" s="31">
        <v>87.42</v>
      </c>
      <c r="EL801" s="31" t="s">
        <v>1889</v>
      </c>
      <c r="FN801" s="31">
        <v>99999</v>
      </c>
      <c r="FO801" s="38">
        <v>99999</v>
      </c>
      <c r="FR801" s="31" t="s">
        <v>700</v>
      </c>
      <c r="FS801" s="31" t="s">
        <v>1042</v>
      </c>
      <c r="FT801" s="31">
        <v>40</v>
      </c>
    </row>
    <row r="802" spans="1:176" s="31" customFormat="1" x14ac:dyDescent="0.25">
      <c r="A802" s="31">
        <v>40</v>
      </c>
      <c r="B802" s="31" t="s">
        <v>670</v>
      </c>
      <c r="C802" s="31" t="s">
        <v>671</v>
      </c>
      <c r="D802" s="31">
        <v>2015</v>
      </c>
      <c r="E802" s="31">
        <v>2013</v>
      </c>
      <c r="F802" s="31" t="s">
        <v>155</v>
      </c>
      <c r="G802" s="31" t="s">
        <v>682</v>
      </c>
      <c r="H802" s="31">
        <v>35.619999999999997</v>
      </c>
      <c r="I802" s="31">
        <v>-88.85</v>
      </c>
      <c r="J802" s="31">
        <v>107.7</v>
      </c>
      <c r="N802" s="31">
        <v>1375</v>
      </c>
      <c r="P802" s="56">
        <v>15</v>
      </c>
      <c r="Q802" s="56"/>
      <c r="R802" s="56"/>
      <c r="S802" s="56" t="s">
        <v>1556</v>
      </c>
      <c r="T802" s="56" t="s">
        <v>1556</v>
      </c>
      <c r="U802" s="56" t="s">
        <v>1556</v>
      </c>
      <c r="V802" s="56" t="s">
        <v>1904</v>
      </c>
      <c r="W802" s="31">
        <f t="shared" si="211"/>
        <v>1.4066666666666665</v>
      </c>
      <c r="Z802" s="31" t="s">
        <v>531</v>
      </c>
      <c r="AD802" s="31" t="s">
        <v>1498</v>
      </c>
      <c r="AE802" s="31" t="s">
        <v>144</v>
      </c>
      <c r="AF802" s="152" t="s">
        <v>1761</v>
      </c>
      <c r="AG802" s="31" t="s">
        <v>673</v>
      </c>
      <c r="AH802" s="155" t="s">
        <v>1797</v>
      </c>
      <c r="AL802" s="31" t="s">
        <v>188</v>
      </c>
      <c r="AM802" s="31" t="s">
        <v>188</v>
      </c>
      <c r="AN802" s="31" t="s">
        <v>212</v>
      </c>
      <c r="AO802" s="31">
        <v>67</v>
      </c>
      <c r="AP802" s="31">
        <v>67</v>
      </c>
      <c r="AQ802" s="31" t="s">
        <v>212</v>
      </c>
      <c r="AR802" s="31" t="s">
        <v>192</v>
      </c>
      <c r="AS802" s="31">
        <v>4</v>
      </c>
      <c r="AT802" s="31">
        <v>4</v>
      </c>
      <c r="AU802" s="31" t="s">
        <v>379</v>
      </c>
      <c r="AZ802" s="31" t="s">
        <v>672</v>
      </c>
      <c r="BJ802" s="31">
        <f>0.1*10.08</f>
        <v>1.008</v>
      </c>
      <c r="BK802" s="31">
        <f>0.1*10.86</f>
        <v>1.0860000000000001</v>
      </c>
      <c r="BL802" s="31" t="s">
        <v>1319</v>
      </c>
      <c r="BM802" s="31">
        <v>1.06</v>
      </c>
      <c r="BN802" s="31">
        <v>1.1000000000000001</v>
      </c>
      <c r="BO802" s="31" t="s">
        <v>1862</v>
      </c>
      <c r="BY802" s="31">
        <v>99999</v>
      </c>
      <c r="BZ802" s="31">
        <v>99999</v>
      </c>
      <c r="CA802" s="31" t="s">
        <v>733</v>
      </c>
      <c r="EJ802" s="31">
        <v>82.24</v>
      </c>
      <c r="EK802" s="31">
        <v>77.459999999999994</v>
      </c>
      <c r="EL802" s="31" t="s">
        <v>1889</v>
      </c>
      <c r="FN802" s="31">
        <v>99999</v>
      </c>
      <c r="FO802" s="38">
        <v>99999</v>
      </c>
      <c r="FR802" s="31" t="s">
        <v>700</v>
      </c>
      <c r="FS802" s="31" t="s">
        <v>1042</v>
      </c>
      <c r="FT802" s="31">
        <v>40</v>
      </c>
    </row>
    <row r="803" spans="1:176" s="31" customFormat="1" x14ac:dyDescent="0.25">
      <c r="A803" s="31">
        <v>40</v>
      </c>
      <c r="B803" s="31" t="s">
        <v>670</v>
      </c>
      <c r="C803" s="31" t="s">
        <v>671</v>
      </c>
      <c r="D803" s="31">
        <v>2015</v>
      </c>
      <c r="E803" s="31">
        <v>2013</v>
      </c>
      <c r="F803" s="31" t="s">
        <v>155</v>
      </c>
      <c r="G803" s="31" t="s">
        <v>682</v>
      </c>
      <c r="H803" s="31">
        <v>35.619999999999997</v>
      </c>
      <c r="I803" s="31">
        <v>-88.85</v>
      </c>
      <c r="J803" s="31">
        <v>107.7</v>
      </c>
      <c r="N803" s="31">
        <v>1375</v>
      </c>
      <c r="P803" s="56">
        <v>15</v>
      </c>
      <c r="Q803" s="56"/>
      <c r="R803" s="56"/>
      <c r="S803" s="56" t="s">
        <v>1556</v>
      </c>
      <c r="T803" s="56" t="s">
        <v>1556</v>
      </c>
      <c r="U803" s="56" t="s">
        <v>1556</v>
      </c>
      <c r="V803" s="56" t="s">
        <v>1904</v>
      </c>
      <c r="W803" s="31">
        <f t="shared" si="211"/>
        <v>1.4066666666666665</v>
      </c>
      <c r="Z803" s="31" t="s">
        <v>531</v>
      </c>
      <c r="AD803" s="31" t="s">
        <v>1498</v>
      </c>
      <c r="AE803" s="31" t="s">
        <v>281</v>
      </c>
      <c r="AF803" s="152" t="s">
        <v>666</v>
      </c>
      <c r="AG803" s="31" t="s">
        <v>673</v>
      </c>
      <c r="AH803" s="155" t="s">
        <v>1797</v>
      </c>
      <c r="AL803" s="31" t="s">
        <v>675</v>
      </c>
      <c r="AM803" s="31" t="s">
        <v>675</v>
      </c>
      <c r="AN803" s="31" t="s">
        <v>212</v>
      </c>
      <c r="AO803" s="31">
        <v>67</v>
      </c>
      <c r="AP803" s="31">
        <v>67</v>
      </c>
      <c r="AQ803" s="31" t="s">
        <v>212</v>
      </c>
      <c r="AR803" s="31" t="s">
        <v>192</v>
      </c>
      <c r="AS803" s="31">
        <v>4</v>
      </c>
      <c r="AT803" s="31">
        <v>4</v>
      </c>
      <c r="AU803" s="31" t="s">
        <v>379</v>
      </c>
      <c r="AZ803" s="31" t="s">
        <v>672</v>
      </c>
      <c r="BJ803" s="31">
        <f>0.1*10.08</f>
        <v>1.008</v>
      </c>
      <c r="BK803" s="31">
        <f>0.1*10.26</f>
        <v>1.026</v>
      </c>
      <c r="BL803" s="31" t="s">
        <v>1319</v>
      </c>
      <c r="BM803" s="31">
        <v>1.02</v>
      </c>
      <c r="BN803" s="31">
        <v>1.06</v>
      </c>
      <c r="BO803" s="31" t="s">
        <v>1862</v>
      </c>
      <c r="BY803" s="31">
        <v>99999</v>
      </c>
      <c r="BZ803" s="31">
        <v>99999</v>
      </c>
      <c r="CA803" s="31" t="s">
        <v>733</v>
      </c>
      <c r="EJ803" s="31">
        <v>70.03</v>
      </c>
      <c r="EK803" s="31">
        <v>68</v>
      </c>
      <c r="EL803" s="31" t="s">
        <v>1889</v>
      </c>
      <c r="FN803" s="31">
        <v>99999</v>
      </c>
      <c r="FO803" s="38">
        <v>99999</v>
      </c>
      <c r="FR803" s="31" t="s">
        <v>700</v>
      </c>
      <c r="FS803" s="31" t="s">
        <v>1042</v>
      </c>
      <c r="FT803" s="31">
        <v>40</v>
      </c>
    </row>
    <row r="804" spans="1:176" s="31" customFormat="1" x14ac:dyDescent="0.25">
      <c r="A804" s="31">
        <v>40</v>
      </c>
      <c r="B804" s="31" t="s">
        <v>670</v>
      </c>
      <c r="C804" s="31" t="s">
        <v>671</v>
      </c>
      <c r="D804" s="31">
        <v>2015</v>
      </c>
      <c r="E804" s="31">
        <v>2013</v>
      </c>
      <c r="F804" s="31" t="s">
        <v>155</v>
      </c>
      <c r="G804" s="31" t="s">
        <v>682</v>
      </c>
      <c r="H804" s="31">
        <v>35.619999999999997</v>
      </c>
      <c r="I804" s="31">
        <v>-88.85</v>
      </c>
      <c r="J804" s="31">
        <v>107.7</v>
      </c>
      <c r="N804" s="31">
        <v>1375</v>
      </c>
      <c r="P804" s="56">
        <v>15</v>
      </c>
      <c r="Q804" s="56"/>
      <c r="R804" s="56"/>
      <c r="S804" s="56" t="s">
        <v>1556</v>
      </c>
      <c r="T804" s="56" t="s">
        <v>1556</v>
      </c>
      <c r="U804" s="56" t="s">
        <v>1556</v>
      </c>
      <c r="V804" s="56" t="s">
        <v>1904</v>
      </c>
      <c r="W804" s="31">
        <f t="shared" si="211"/>
        <v>1.4066666666666665</v>
      </c>
      <c r="Z804" s="31" t="s">
        <v>531</v>
      </c>
      <c r="AD804" s="31" t="s">
        <v>1498</v>
      </c>
      <c r="AE804" s="31" t="s">
        <v>144</v>
      </c>
      <c r="AF804" s="152" t="s">
        <v>1761</v>
      </c>
      <c r="AG804" s="31" t="s">
        <v>673</v>
      </c>
      <c r="AH804" s="155" t="s">
        <v>1797</v>
      </c>
      <c r="AL804" s="31" t="s">
        <v>675</v>
      </c>
      <c r="AM804" s="31" t="s">
        <v>675</v>
      </c>
      <c r="AN804" s="31" t="s">
        <v>212</v>
      </c>
      <c r="AO804" s="31">
        <v>67</v>
      </c>
      <c r="AP804" s="31">
        <v>67</v>
      </c>
      <c r="AQ804" s="31" t="s">
        <v>212</v>
      </c>
      <c r="AR804" s="31" t="s">
        <v>192</v>
      </c>
      <c r="AS804" s="31">
        <v>4</v>
      </c>
      <c r="AT804" s="31">
        <v>4</v>
      </c>
      <c r="AU804" s="31" t="s">
        <v>379</v>
      </c>
      <c r="AZ804" s="31" t="s">
        <v>672</v>
      </c>
      <c r="BJ804" s="31">
        <f>0.1*10.08</f>
        <v>1.008</v>
      </c>
      <c r="BK804" s="31">
        <f>0.1*10.41</f>
        <v>1.0410000000000001</v>
      </c>
      <c r="BL804" s="31" t="s">
        <v>1319</v>
      </c>
      <c r="BM804" s="31">
        <v>1.02</v>
      </c>
      <c r="BN804" s="31">
        <v>1.07</v>
      </c>
      <c r="BO804" s="31" t="s">
        <v>1862</v>
      </c>
      <c r="BY804" s="31">
        <v>99999</v>
      </c>
      <c r="BZ804" s="31">
        <v>99999</v>
      </c>
      <c r="CA804" s="31" t="s">
        <v>733</v>
      </c>
      <c r="EJ804" s="31">
        <v>70.03</v>
      </c>
      <c r="EK804" s="31">
        <v>66</v>
      </c>
      <c r="EL804" s="31" t="s">
        <v>1889</v>
      </c>
      <c r="FN804" s="31">
        <v>99999</v>
      </c>
      <c r="FO804" s="38">
        <v>99999</v>
      </c>
      <c r="FR804" s="31" t="s">
        <v>700</v>
      </c>
      <c r="FS804" s="31" t="s">
        <v>1042</v>
      </c>
      <c r="FT804" s="31">
        <v>40</v>
      </c>
    </row>
    <row r="805" spans="1:176" s="38" customFormat="1" x14ac:dyDescent="0.25">
      <c r="A805" s="38">
        <v>40</v>
      </c>
      <c r="B805" s="38" t="s">
        <v>670</v>
      </c>
      <c r="C805" s="38" t="s">
        <v>671</v>
      </c>
      <c r="D805" s="38">
        <v>2015</v>
      </c>
      <c r="E805" s="38">
        <v>2013</v>
      </c>
      <c r="F805" s="38" t="s">
        <v>155</v>
      </c>
      <c r="G805" s="38" t="s">
        <v>682</v>
      </c>
      <c r="H805" s="38">
        <v>35.619999999999997</v>
      </c>
      <c r="I805" s="38">
        <v>-88.85</v>
      </c>
      <c r="J805" s="38">
        <v>107.7</v>
      </c>
      <c r="N805" s="38">
        <v>1375</v>
      </c>
      <c r="P805" s="57">
        <v>15</v>
      </c>
      <c r="Q805" s="57"/>
      <c r="R805" s="57"/>
      <c r="S805" s="57" t="s">
        <v>1556</v>
      </c>
      <c r="T805" s="57" t="s">
        <v>1556</v>
      </c>
      <c r="U805" s="57" t="s">
        <v>1556</v>
      </c>
      <c r="V805" s="57" t="s">
        <v>1904</v>
      </c>
      <c r="W805" s="38">
        <f t="shared" si="211"/>
        <v>1.4066666666666665</v>
      </c>
      <c r="Z805" s="38" t="s">
        <v>531</v>
      </c>
      <c r="AD805" s="38" t="s">
        <v>1498</v>
      </c>
      <c r="AE805" s="38" t="s">
        <v>281</v>
      </c>
      <c r="AF805" s="152" t="s">
        <v>666</v>
      </c>
      <c r="AG805" s="38" t="s">
        <v>673</v>
      </c>
      <c r="AH805" s="155" t="s">
        <v>1797</v>
      </c>
      <c r="AL805" s="38" t="s">
        <v>188</v>
      </c>
      <c r="AM805" s="38" t="s">
        <v>188</v>
      </c>
      <c r="AN805" s="38" t="s">
        <v>212</v>
      </c>
      <c r="AO805" s="38">
        <v>101</v>
      </c>
      <c r="AP805" s="38">
        <v>101</v>
      </c>
      <c r="AQ805" s="38" t="s">
        <v>212</v>
      </c>
      <c r="AR805" s="38" t="s">
        <v>192</v>
      </c>
      <c r="AS805" s="38">
        <v>4</v>
      </c>
      <c r="AT805" s="38">
        <v>4</v>
      </c>
      <c r="AU805" s="38" t="s">
        <v>379</v>
      </c>
      <c r="AY805" s="64"/>
      <c r="AZ805" s="38" t="s">
        <v>672</v>
      </c>
      <c r="BJ805" s="38">
        <f>0.1*14.02</f>
        <v>1.4020000000000001</v>
      </c>
      <c r="BK805" s="38">
        <f>0.1*12.58</f>
        <v>1.258</v>
      </c>
      <c r="BL805" s="38" t="s">
        <v>1319</v>
      </c>
      <c r="BM805" s="38">
        <v>1.47</v>
      </c>
      <c r="BN805" s="38">
        <v>1.25</v>
      </c>
      <c r="BO805" s="38" t="s">
        <v>1862</v>
      </c>
      <c r="BY805" s="38">
        <v>99999</v>
      </c>
      <c r="BZ805" s="38">
        <v>99999</v>
      </c>
      <c r="CA805" s="38" t="s">
        <v>733</v>
      </c>
      <c r="EJ805" s="38">
        <v>86.18</v>
      </c>
      <c r="EK805" s="38">
        <v>71.55</v>
      </c>
      <c r="EL805" s="38" t="s">
        <v>1889</v>
      </c>
      <c r="FN805" s="38">
        <v>99999</v>
      </c>
      <c r="FO805" s="38">
        <v>99999</v>
      </c>
      <c r="FR805" s="38" t="s">
        <v>700</v>
      </c>
      <c r="FS805" s="38" t="s">
        <v>1042</v>
      </c>
      <c r="FT805" s="38">
        <v>40</v>
      </c>
    </row>
    <row r="806" spans="1:176" s="38" customFormat="1" x14ac:dyDescent="0.25">
      <c r="A806" s="38">
        <v>40</v>
      </c>
      <c r="B806" s="38" t="s">
        <v>670</v>
      </c>
      <c r="C806" s="38" t="s">
        <v>671</v>
      </c>
      <c r="D806" s="38">
        <v>2015</v>
      </c>
      <c r="E806" s="38">
        <v>2013</v>
      </c>
      <c r="F806" s="38" t="s">
        <v>155</v>
      </c>
      <c r="G806" s="38" t="s">
        <v>682</v>
      </c>
      <c r="H806" s="38">
        <v>35.619999999999997</v>
      </c>
      <c r="I806" s="38">
        <v>-88.85</v>
      </c>
      <c r="J806" s="38">
        <v>107.7</v>
      </c>
      <c r="N806" s="38">
        <v>1375</v>
      </c>
      <c r="P806" s="57">
        <v>15</v>
      </c>
      <c r="Q806" s="57"/>
      <c r="R806" s="57"/>
      <c r="S806" s="57" t="s">
        <v>1556</v>
      </c>
      <c r="T806" s="57" t="s">
        <v>1556</v>
      </c>
      <c r="U806" s="57" t="s">
        <v>1556</v>
      </c>
      <c r="V806" s="57" t="s">
        <v>1904</v>
      </c>
      <c r="W806" s="38">
        <f t="shared" si="211"/>
        <v>1.4066666666666665</v>
      </c>
      <c r="Z806" s="38" t="s">
        <v>531</v>
      </c>
      <c r="AD806" s="38" t="s">
        <v>1498</v>
      </c>
      <c r="AE806" s="38" t="s">
        <v>144</v>
      </c>
      <c r="AF806" s="152" t="s">
        <v>1761</v>
      </c>
      <c r="AG806" s="38" t="s">
        <v>673</v>
      </c>
      <c r="AH806" s="155" t="s">
        <v>1797</v>
      </c>
      <c r="AL806" s="38" t="s">
        <v>188</v>
      </c>
      <c r="AM806" s="38" t="s">
        <v>188</v>
      </c>
      <c r="AN806" s="38" t="s">
        <v>212</v>
      </c>
      <c r="AO806" s="38">
        <v>101</v>
      </c>
      <c r="AP806" s="38">
        <v>101</v>
      </c>
      <c r="AQ806" s="38" t="s">
        <v>212</v>
      </c>
      <c r="AR806" s="38" t="s">
        <v>192</v>
      </c>
      <c r="AS806" s="38">
        <v>4</v>
      </c>
      <c r="AT806" s="38">
        <v>4</v>
      </c>
      <c r="AU806" s="38" t="s">
        <v>379</v>
      </c>
      <c r="AY806" s="64"/>
      <c r="AZ806" s="38" t="s">
        <v>672</v>
      </c>
      <c r="BJ806" s="38">
        <f>0.1*14.02</f>
        <v>1.4020000000000001</v>
      </c>
      <c r="BK806" s="38">
        <f>0.1*13.35</f>
        <v>1.335</v>
      </c>
      <c r="BL806" s="38" t="s">
        <v>1319</v>
      </c>
      <c r="BM806" s="38">
        <v>1.47</v>
      </c>
      <c r="BN806" s="38">
        <v>1.39</v>
      </c>
      <c r="BO806" s="38" t="s">
        <v>1862</v>
      </c>
      <c r="BY806" s="38">
        <v>99999</v>
      </c>
      <c r="BZ806" s="38">
        <v>99999</v>
      </c>
      <c r="CA806" s="38" t="s">
        <v>733</v>
      </c>
      <c r="EJ806" s="38">
        <v>86.18</v>
      </c>
      <c r="EK806" s="38">
        <v>81.77</v>
      </c>
      <c r="EL806" s="38" t="s">
        <v>1889</v>
      </c>
      <c r="FN806" s="38">
        <v>99999</v>
      </c>
      <c r="FO806" s="38">
        <v>99999</v>
      </c>
      <c r="FR806" s="38" t="s">
        <v>700</v>
      </c>
      <c r="FS806" s="38" t="s">
        <v>1042</v>
      </c>
      <c r="FT806" s="38">
        <v>40</v>
      </c>
    </row>
    <row r="807" spans="1:176" s="38" customFormat="1" x14ac:dyDescent="0.25">
      <c r="A807" s="38">
        <v>40</v>
      </c>
      <c r="B807" s="38" t="s">
        <v>670</v>
      </c>
      <c r="C807" s="38" t="s">
        <v>671</v>
      </c>
      <c r="D807" s="38">
        <v>2015</v>
      </c>
      <c r="E807" s="38">
        <v>2013</v>
      </c>
      <c r="F807" s="38" t="s">
        <v>155</v>
      </c>
      <c r="G807" s="38" t="s">
        <v>682</v>
      </c>
      <c r="H807" s="38">
        <v>35.619999999999997</v>
      </c>
      <c r="I807" s="38">
        <v>-88.85</v>
      </c>
      <c r="J807" s="38">
        <v>107.7</v>
      </c>
      <c r="N807" s="38">
        <v>1375</v>
      </c>
      <c r="P807" s="57">
        <v>15</v>
      </c>
      <c r="Q807" s="57"/>
      <c r="R807" s="57"/>
      <c r="S807" s="57" t="s">
        <v>1556</v>
      </c>
      <c r="T807" s="57" t="s">
        <v>1556</v>
      </c>
      <c r="U807" s="57" t="s">
        <v>1556</v>
      </c>
      <c r="V807" s="57" t="s">
        <v>1904</v>
      </c>
      <c r="W807" s="38">
        <f t="shared" si="211"/>
        <v>1.4066666666666665</v>
      </c>
      <c r="Z807" s="38" t="s">
        <v>531</v>
      </c>
      <c r="AD807" s="38" t="s">
        <v>1498</v>
      </c>
      <c r="AE807" s="38" t="s">
        <v>281</v>
      </c>
      <c r="AF807" s="152" t="s">
        <v>666</v>
      </c>
      <c r="AG807" s="38" t="s">
        <v>673</v>
      </c>
      <c r="AH807" s="155" t="s">
        <v>1797</v>
      </c>
      <c r="AL807" s="38" t="s">
        <v>675</v>
      </c>
      <c r="AM807" s="38" t="s">
        <v>675</v>
      </c>
      <c r="AN807" s="38" t="s">
        <v>212</v>
      </c>
      <c r="AO807" s="38">
        <v>101</v>
      </c>
      <c r="AP807" s="38">
        <v>101</v>
      </c>
      <c r="AQ807" s="38" t="s">
        <v>212</v>
      </c>
      <c r="AR807" s="38" t="s">
        <v>192</v>
      </c>
      <c r="AS807" s="38">
        <v>4</v>
      </c>
      <c r="AT807" s="38">
        <v>4</v>
      </c>
      <c r="AU807" s="38" t="s">
        <v>379</v>
      </c>
      <c r="AY807" s="64"/>
      <c r="AZ807" s="38" t="s">
        <v>672</v>
      </c>
      <c r="BJ807" s="38">
        <f>0.1*11.72</f>
        <v>1.1720000000000002</v>
      </c>
      <c r="BK807" s="38">
        <f>0.1*11.36</f>
        <v>1.1359999999999999</v>
      </c>
      <c r="BL807" s="38" t="s">
        <v>1319</v>
      </c>
      <c r="BM807" s="38">
        <v>1.31</v>
      </c>
      <c r="BN807" s="38">
        <v>1.19</v>
      </c>
      <c r="BO807" s="38" t="s">
        <v>1862</v>
      </c>
      <c r="BY807" s="38">
        <v>99999</v>
      </c>
      <c r="BZ807" s="38">
        <v>99999</v>
      </c>
      <c r="CA807" s="38" t="s">
        <v>733</v>
      </c>
      <c r="EJ807" s="38">
        <v>61.36</v>
      </c>
      <c r="EK807" s="38">
        <v>70.5</v>
      </c>
      <c r="EL807" s="38" t="s">
        <v>1889</v>
      </c>
      <c r="FN807" s="38">
        <v>99999</v>
      </c>
      <c r="FO807" s="38">
        <v>99999</v>
      </c>
      <c r="FR807" s="38" t="s">
        <v>700</v>
      </c>
      <c r="FS807" s="38" t="s">
        <v>1042</v>
      </c>
      <c r="FT807" s="38">
        <v>40</v>
      </c>
    </row>
    <row r="808" spans="1:176" s="38" customFormat="1" x14ac:dyDescent="0.25">
      <c r="A808" s="38">
        <v>40</v>
      </c>
      <c r="B808" s="38" t="s">
        <v>670</v>
      </c>
      <c r="C808" s="38" t="s">
        <v>671</v>
      </c>
      <c r="D808" s="38">
        <v>2015</v>
      </c>
      <c r="E808" s="38">
        <v>2013</v>
      </c>
      <c r="F808" s="38" t="s">
        <v>155</v>
      </c>
      <c r="G808" s="38" t="s">
        <v>682</v>
      </c>
      <c r="H808" s="38">
        <v>35.619999999999997</v>
      </c>
      <c r="I808" s="38">
        <v>-88.85</v>
      </c>
      <c r="J808" s="38">
        <v>107.7</v>
      </c>
      <c r="N808" s="38">
        <v>1375</v>
      </c>
      <c r="P808" s="57">
        <v>15</v>
      </c>
      <c r="Q808" s="57"/>
      <c r="R808" s="57"/>
      <c r="S808" s="57" t="s">
        <v>1556</v>
      </c>
      <c r="T808" s="57" t="s">
        <v>1556</v>
      </c>
      <c r="U808" s="57" t="s">
        <v>1556</v>
      </c>
      <c r="V808" s="57" t="s">
        <v>1904</v>
      </c>
      <c r="W808" s="38">
        <f t="shared" si="211"/>
        <v>1.4066666666666665</v>
      </c>
      <c r="Z808" s="38" t="s">
        <v>531</v>
      </c>
      <c r="AD808" s="38" t="s">
        <v>1498</v>
      </c>
      <c r="AE808" s="38" t="s">
        <v>144</v>
      </c>
      <c r="AF808" s="152" t="s">
        <v>1761</v>
      </c>
      <c r="AG808" s="38" t="s">
        <v>673</v>
      </c>
      <c r="AH808" s="155" t="s">
        <v>1797</v>
      </c>
      <c r="AL808" s="38" t="s">
        <v>675</v>
      </c>
      <c r="AM808" s="38" t="s">
        <v>675</v>
      </c>
      <c r="AN808" s="38" t="s">
        <v>212</v>
      </c>
      <c r="AO808" s="38">
        <v>101</v>
      </c>
      <c r="AP808" s="38">
        <v>101</v>
      </c>
      <c r="AQ808" s="38" t="s">
        <v>212</v>
      </c>
      <c r="AR808" s="38" t="s">
        <v>192</v>
      </c>
      <c r="AS808" s="38">
        <v>4</v>
      </c>
      <c r="AT808" s="38">
        <v>4</v>
      </c>
      <c r="AU808" s="38" t="s">
        <v>379</v>
      </c>
      <c r="AY808" s="64"/>
      <c r="AZ808" s="38" t="s">
        <v>672</v>
      </c>
      <c r="BJ808" s="38">
        <f>0.1*11.72</f>
        <v>1.1720000000000002</v>
      </c>
      <c r="BK808" s="38">
        <f>0.1*12.13</f>
        <v>1.2130000000000001</v>
      </c>
      <c r="BL808" s="38" t="s">
        <v>1319</v>
      </c>
      <c r="BM808" s="38">
        <v>1.31</v>
      </c>
      <c r="BN808" s="38">
        <v>1.2</v>
      </c>
      <c r="BO808" s="38" t="s">
        <v>1862</v>
      </c>
      <c r="BY808" s="38">
        <v>99999</v>
      </c>
      <c r="BZ808" s="38">
        <v>99999</v>
      </c>
      <c r="CA808" s="38" t="s">
        <v>733</v>
      </c>
      <c r="EJ808" s="38">
        <v>61.36</v>
      </c>
      <c r="EK808" s="38">
        <v>54.78</v>
      </c>
      <c r="EL808" s="38" t="s">
        <v>1889</v>
      </c>
      <c r="FN808" s="38">
        <v>99999</v>
      </c>
      <c r="FO808" s="38">
        <v>99999</v>
      </c>
      <c r="FR808" s="38" t="s">
        <v>700</v>
      </c>
      <c r="FS808" s="38" t="s">
        <v>1042</v>
      </c>
      <c r="FT808" s="38">
        <v>40</v>
      </c>
    </row>
    <row r="809" spans="1:176" s="26" customFormat="1" x14ac:dyDescent="0.25">
      <c r="A809" s="26">
        <v>41</v>
      </c>
      <c r="B809" s="26" t="s">
        <v>680</v>
      </c>
      <c r="C809" s="26" t="s">
        <v>681</v>
      </c>
      <c r="D809" s="26">
        <v>1994</v>
      </c>
      <c r="E809" s="26">
        <v>1986</v>
      </c>
      <c r="F809" s="26" t="s">
        <v>498</v>
      </c>
      <c r="G809" s="26" t="s">
        <v>683</v>
      </c>
      <c r="H809" s="26">
        <v>38.03</v>
      </c>
      <c r="I809" s="26">
        <v>-84.51</v>
      </c>
      <c r="J809" s="26">
        <v>299.60000000000002</v>
      </c>
      <c r="P809" s="52">
        <v>2</v>
      </c>
      <c r="Q809" s="52"/>
      <c r="R809" s="52" t="s">
        <v>239</v>
      </c>
      <c r="S809" s="52" t="s">
        <v>1555</v>
      </c>
      <c r="T809" s="52" t="s">
        <v>1555</v>
      </c>
      <c r="U809" s="52" t="s">
        <v>1555</v>
      </c>
      <c r="V809" s="52" t="s">
        <v>1903</v>
      </c>
      <c r="W809" s="26">
        <v>1.05</v>
      </c>
      <c r="X809" s="26">
        <v>7.3</v>
      </c>
      <c r="Y809" s="26">
        <v>70.2</v>
      </c>
      <c r="Z809" s="26" t="s">
        <v>531</v>
      </c>
      <c r="AA809" s="26">
        <v>5.48</v>
      </c>
      <c r="AB809" s="26">
        <v>1.1599999999999999</v>
      </c>
      <c r="AD809" s="26" t="s">
        <v>1499</v>
      </c>
      <c r="AE809" s="26" t="s">
        <v>159</v>
      </c>
      <c r="AF809" s="152" t="s">
        <v>159</v>
      </c>
      <c r="AG809" s="26" t="s">
        <v>160</v>
      </c>
      <c r="AH809" s="154" t="s">
        <v>160</v>
      </c>
      <c r="AR809" s="26" t="s">
        <v>147</v>
      </c>
      <c r="AS809" s="26">
        <v>2</v>
      </c>
      <c r="AT809" s="26">
        <v>2</v>
      </c>
      <c r="AU809" s="26" t="s">
        <v>169</v>
      </c>
      <c r="AY809" s="63"/>
      <c r="DC809" s="26">
        <v>46.84</v>
      </c>
      <c r="DD809" s="26">
        <v>51.58</v>
      </c>
      <c r="DE809" s="26" t="s">
        <v>684</v>
      </c>
      <c r="FR809" s="26" t="s">
        <v>824</v>
      </c>
      <c r="FT809" s="26">
        <v>41</v>
      </c>
    </row>
    <row r="810" spans="1:176" s="26" customFormat="1" x14ac:dyDescent="0.25">
      <c r="A810" s="26">
        <v>41</v>
      </c>
      <c r="B810" s="26" t="s">
        <v>680</v>
      </c>
      <c r="C810" s="26" t="s">
        <v>681</v>
      </c>
      <c r="D810" s="26">
        <v>1994</v>
      </c>
      <c r="E810" s="26">
        <v>1986</v>
      </c>
      <c r="F810" s="26" t="s">
        <v>498</v>
      </c>
      <c r="G810" s="26" t="s">
        <v>683</v>
      </c>
      <c r="H810" s="26">
        <v>38.03</v>
      </c>
      <c r="I810" s="26">
        <v>-84.51</v>
      </c>
      <c r="J810" s="26">
        <v>299.60000000000002</v>
      </c>
      <c r="P810" s="52">
        <v>2</v>
      </c>
      <c r="Q810" s="52"/>
      <c r="R810" s="52" t="s">
        <v>685</v>
      </c>
      <c r="S810" s="52" t="s">
        <v>1555</v>
      </c>
      <c r="T810" s="52" t="s">
        <v>1555</v>
      </c>
      <c r="U810" s="52" t="s">
        <v>1555</v>
      </c>
      <c r="V810" s="52" t="s">
        <v>1903</v>
      </c>
      <c r="W810" s="26">
        <v>1.05</v>
      </c>
      <c r="X810" s="26">
        <v>7.3</v>
      </c>
      <c r="Y810" s="26">
        <v>70.2</v>
      </c>
      <c r="Z810" s="26" t="s">
        <v>531</v>
      </c>
      <c r="AA810" s="26">
        <v>5.48</v>
      </c>
      <c r="AB810" s="26">
        <v>1.1599999999999999</v>
      </c>
      <c r="AD810" s="26" t="s">
        <v>1499</v>
      </c>
      <c r="AE810" s="26" t="s">
        <v>159</v>
      </c>
      <c r="AF810" s="152" t="s">
        <v>159</v>
      </c>
      <c r="AG810" s="26" t="s">
        <v>160</v>
      </c>
      <c r="AH810" s="154" t="s">
        <v>160</v>
      </c>
      <c r="AR810" s="26" t="s">
        <v>147</v>
      </c>
      <c r="AS810" s="26">
        <v>2</v>
      </c>
      <c r="AT810" s="26">
        <v>2</v>
      </c>
      <c r="AU810" s="26" t="s">
        <v>169</v>
      </c>
      <c r="AY810" s="63"/>
      <c r="DC810" s="26">
        <v>0.25</v>
      </c>
      <c r="DD810" s="26">
        <v>0.25</v>
      </c>
      <c r="DE810" s="26" t="s">
        <v>684</v>
      </c>
      <c r="FR810" s="26" t="s">
        <v>824</v>
      </c>
      <c r="FT810" s="26">
        <v>41</v>
      </c>
    </row>
    <row r="811" spans="1:176" s="26" customFormat="1" x14ac:dyDescent="0.25">
      <c r="A811" s="26">
        <v>41</v>
      </c>
      <c r="B811" s="26" t="s">
        <v>680</v>
      </c>
      <c r="C811" s="26" t="s">
        <v>681</v>
      </c>
      <c r="D811" s="26">
        <v>1994</v>
      </c>
      <c r="E811" s="26">
        <v>1986</v>
      </c>
      <c r="F811" s="26" t="s">
        <v>498</v>
      </c>
      <c r="G811" s="26" t="s">
        <v>683</v>
      </c>
      <c r="H811" s="26">
        <v>38.03</v>
      </c>
      <c r="I811" s="26">
        <v>-84.51</v>
      </c>
      <c r="J811" s="26">
        <v>299.60000000000002</v>
      </c>
      <c r="P811" s="52">
        <v>2</v>
      </c>
      <c r="Q811" s="52"/>
      <c r="R811" s="52" t="s">
        <v>264</v>
      </c>
      <c r="S811" s="52" t="s">
        <v>1555</v>
      </c>
      <c r="T811" s="52" t="s">
        <v>1555</v>
      </c>
      <c r="U811" s="52" t="s">
        <v>1555</v>
      </c>
      <c r="V811" s="52" t="s">
        <v>1903</v>
      </c>
      <c r="W811" s="26">
        <v>1.05</v>
      </c>
      <c r="X811" s="26">
        <v>7.3</v>
      </c>
      <c r="Y811" s="26">
        <v>70.2</v>
      </c>
      <c r="Z811" s="26" t="s">
        <v>531</v>
      </c>
      <c r="AA811" s="26">
        <v>5.48</v>
      </c>
      <c r="AB811" s="26">
        <v>1.1599999999999999</v>
      </c>
      <c r="AD811" s="26" t="s">
        <v>1499</v>
      </c>
      <c r="AE811" s="26" t="s">
        <v>159</v>
      </c>
      <c r="AF811" s="152" t="s">
        <v>159</v>
      </c>
      <c r="AG811" s="26" t="s">
        <v>160</v>
      </c>
      <c r="AH811" s="154" t="s">
        <v>160</v>
      </c>
      <c r="AR811" s="26" t="s">
        <v>147</v>
      </c>
      <c r="AS811" s="26">
        <v>2</v>
      </c>
      <c r="AT811" s="26">
        <v>2</v>
      </c>
      <c r="AU811" s="26" t="s">
        <v>169</v>
      </c>
      <c r="AY811" s="63"/>
      <c r="DC811" s="26">
        <v>0.05</v>
      </c>
      <c r="DD811" s="26">
        <v>0.05</v>
      </c>
      <c r="DE811" s="26" t="s">
        <v>684</v>
      </c>
      <c r="FR811" s="26" t="s">
        <v>824</v>
      </c>
      <c r="FT811" s="26">
        <v>41</v>
      </c>
    </row>
    <row r="812" spans="1:176" s="26" customFormat="1" x14ac:dyDescent="0.25">
      <c r="A812" s="26">
        <v>41</v>
      </c>
      <c r="B812" s="26" t="s">
        <v>680</v>
      </c>
      <c r="C812" s="26" t="s">
        <v>681</v>
      </c>
      <c r="D812" s="26">
        <v>1994</v>
      </c>
      <c r="E812" s="26">
        <v>1986</v>
      </c>
      <c r="F812" s="26" t="s">
        <v>498</v>
      </c>
      <c r="G812" s="26" t="s">
        <v>683</v>
      </c>
      <c r="H812" s="26">
        <v>38.03</v>
      </c>
      <c r="I812" s="26">
        <v>-84.51</v>
      </c>
      <c r="J812" s="26">
        <v>299.60000000000002</v>
      </c>
      <c r="P812" s="52">
        <v>2</v>
      </c>
      <c r="Q812" s="52"/>
      <c r="R812" s="52" t="s">
        <v>686</v>
      </c>
      <c r="S812" s="52" t="s">
        <v>1555</v>
      </c>
      <c r="T812" s="52" t="s">
        <v>1555</v>
      </c>
      <c r="U812" s="52" t="s">
        <v>1555</v>
      </c>
      <c r="V812" s="52" t="s">
        <v>1903</v>
      </c>
      <c r="W812" s="26">
        <v>1.05</v>
      </c>
      <c r="X812" s="26">
        <v>7.3</v>
      </c>
      <c r="Y812" s="26">
        <v>70.2</v>
      </c>
      <c r="Z812" s="26" t="s">
        <v>531</v>
      </c>
      <c r="AA812" s="26">
        <v>5.48</v>
      </c>
      <c r="AB812" s="26">
        <v>1.1599999999999999</v>
      </c>
      <c r="AD812" s="26" t="s">
        <v>1499</v>
      </c>
      <c r="AE812" s="26" t="s">
        <v>159</v>
      </c>
      <c r="AF812" s="152" t="s">
        <v>159</v>
      </c>
      <c r="AG812" s="26" t="s">
        <v>160</v>
      </c>
      <c r="AH812" s="154" t="s">
        <v>160</v>
      </c>
      <c r="AR812" s="26" t="s">
        <v>147</v>
      </c>
      <c r="AS812" s="26">
        <v>2</v>
      </c>
      <c r="AT812" s="26">
        <v>2</v>
      </c>
      <c r="AU812" s="26" t="s">
        <v>169</v>
      </c>
      <c r="AY812" s="63"/>
      <c r="DC812" s="26">
        <v>0.3</v>
      </c>
      <c r="DD812" s="26">
        <v>0.3</v>
      </c>
      <c r="DE812" s="26" t="s">
        <v>684</v>
      </c>
      <c r="FR812" s="26" t="s">
        <v>824</v>
      </c>
      <c r="FT812" s="26">
        <v>41</v>
      </c>
    </row>
    <row r="813" spans="1:176" s="26" customFormat="1" x14ac:dyDescent="0.25">
      <c r="A813" s="26">
        <v>41</v>
      </c>
      <c r="B813" s="26" t="s">
        <v>680</v>
      </c>
      <c r="C813" s="26" t="s">
        <v>681</v>
      </c>
      <c r="D813" s="26">
        <v>1994</v>
      </c>
      <c r="E813" s="26">
        <v>1986</v>
      </c>
      <c r="F813" s="26" t="s">
        <v>498</v>
      </c>
      <c r="G813" s="26" t="s">
        <v>683</v>
      </c>
      <c r="H813" s="26">
        <v>38.03</v>
      </c>
      <c r="I813" s="26">
        <v>-84.51</v>
      </c>
      <c r="J813" s="26">
        <v>299.60000000000002</v>
      </c>
      <c r="P813" s="52">
        <v>2</v>
      </c>
      <c r="Q813" s="52"/>
      <c r="R813" s="52" t="s">
        <v>687</v>
      </c>
      <c r="S813" s="52" t="s">
        <v>1555</v>
      </c>
      <c r="T813" s="52" t="s">
        <v>1555</v>
      </c>
      <c r="U813" s="52" t="s">
        <v>1555</v>
      </c>
      <c r="V813" s="52" t="s">
        <v>1903</v>
      </c>
      <c r="W813" s="26">
        <v>1.05</v>
      </c>
      <c r="X813" s="26">
        <v>7.3</v>
      </c>
      <c r="Y813" s="26">
        <v>70.2</v>
      </c>
      <c r="Z813" s="26" t="s">
        <v>531</v>
      </c>
      <c r="AA813" s="26">
        <v>5.48</v>
      </c>
      <c r="AB813" s="26">
        <v>1.1599999999999999</v>
      </c>
      <c r="AD813" s="26" t="s">
        <v>1499</v>
      </c>
      <c r="AE813" s="26" t="s">
        <v>159</v>
      </c>
      <c r="AF813" s="152" t="s">
        <v>159</v>
      </c>
      <c r="AG813" s="26" t="s">
        <v>160</v>
      </c>
      <c r="AH813" s="154" t="s">
        <v>160</v>
      </c>
      <c r="AR813" s="26" t="s">
        <v>147</v>
      </c>
      <c r="AS813" s="26">
        <v>2</v>
      </c>
      <c r="AT813" s="26">
        <v>2</v>
      </c>
      <c r="AU813" s="26" t="s">
        <v>169</v>
      </c>
      <c r="AY813" s="63"/>
      <c r="DC813" s="26">
        <v>0.03</v>
      </c>
      <c r="DD813" s="26">
        <v>0.03</v>
      </c>
      <c r="DE813" s="26" t="s">
        <v>684</v>
      </c>
      <c r="FR813" s="26" t="s">
        <v>824</v>
      </c>
      <c r="FT813" s="26">
        <v>41</v>
      </c>
    </row>
    <row r="814" spans="1:176" s="26" customFormat="1" x14ac:dyDescent="0.25">
      <c r="A814" s="26">
        <v>41</v>
      </c>
      <c r="B814" s="26" t="s">
        <v>680</v>
      </c>
      <c r="C814" s="26" t="s">
        <v>681</v>
      </c>
      <c r="D814" s="26">
        <v>1994</v>
      </c>
      <c r="E814" s="26">
        <v>1986</v>
      </c>
      <c r="F814" s="26" t="s">
        <v>498</v>
      </c>
      <c r="G814" s="26" t="s">
        <v>683</v>
      </c>
      <c r="H814" s="26">
        <v>38.03</v>
      </c>
      <c r="I814" s="26">
        <v>-84.51</v>
      </c>
      <c r="J814" s="26">
        <v>299.60000000000002</v>
      </c>
      <c r="P814" s="52">
        <v>2</v>
      </c>
      <c r="Q814" s="52"/>
      <c r="R814" s="52" t="s">
        <v>606</v>
      </c>
      <c r="S814" s="52" t="s">
        <v>1555</v>
      </c>
      <c r="T814" s="52" t="s">
        <v>1555</v>
      </c>
      <c r="U814" s="52" t="s">
        <v>1555</v>
      </c>
      <c r="V814" s="52" t="s">
        <v>1903</v>
      </c>
      <c r="W814" s="26">
        <v>1.05</v>
      </c>
      <c r="X814" s="26">
        <v>7.3</v>
      </c>
      <c r="Y814" s="26">
        <v>70.2</v>
      </c>
      <c r="Z814" s="26" t="s">
        <v>531</v>
      </c>
      <c r="AA814" s="26">
        <v>5.48</v>
      </c>
      <c r="AB814" s="26">
        <v>1.1599999999999999</v>
      </c>
      <c r="AD814" s="26" t="s">
        <v>1499</v>
      </c>
      <c r="AE814" s="26" t="s">
        <v>159</v>
      </c>
      <c r="AF814" s="152" t="s">
        <v>159</v>
      </c>
      <c r="AG814" s="26" t="s">
        <v>160</v>
      </c>
      <c r="AH814" s="154" t="s">
        <v>160</v>
      </c>
      <c r="AR814" s="26" t="s">
        <v>147</v>
      </c>
      <c r="AS814" s="26">
        <v>2</v>
      </c>
      <c r="AT814" s="26">
        <v>2</v>
      </c>
      <c r="AU814" s="26" t="s">
        <v>169</v>
      </c>
      <c r="AY814" s="63"/>
      <c r="DC814" s="26">
        <v>34.22</v>
      </c>
      <c r="DD814" s="26">
        <v>26.66</v>
      </c>
      <c r="DE814" s="26" t="s">
        <v>684</v>
      </c>
      <c r="FR814" s="26" t="s">
        <v>824</v>
      </c>
      <c r="FT814" s="26">
        <v>41</v>
      </c>
    </row>
    <row r="815" spans="1:176" s="35" customFormat="1" x14ac:dyDescent="0.25">
      <c r="A815" s="35">
        <v>41</v>
      </c>
      <c r="B815" s="35" t="s">
        <v>680</v>
      </c>
      <c r="C815" s="35" t="s">
        <v>681</v>
      </c>
      <c r="D815" s="35">
        <v>1994</v>
      </c>
      <c r="E815" s="35">
        <v>1987</v>
      </c>
      <c r="F815" s="35" t="s">
        <v>498</v>
      </c>
      <c r="G815" s="35" t="s">
        <v>683</v>
      </c>
      <c r="H815" s="35">
        <v>38.03</v>
      </c>
      <c r="I815" s="35">
        <v>-84.51</v>
      </c>
      <c r="J815" s="35">
        <v>299.60000000000002</v>
      </c>
      <c r="P815" s="54">
        <v>3</v>
      </c>
      <c r="Q815" s="54"/>
      <c r="R815" s="54" t="s">
        <v>691</v>
      </c>
      <c r="S815" s="54" t="s">
        <v>1555</v>
      </c>
      <c r="T815" s="54" t="s">
        <v>1555</v>
      </c>
      <c r="U815" s="54" t="s">
        <v>1555</v>
      </c>
      <c r="V815" s="54" t="s">
        <v>1903</v>
      </c>
      <c r="W815" s="35">
        <v>1.05</v>
      </c>
      <c r="X815" s="35">
        <v>7.3</v>
      </c>
      <c r="Y815" s="35">
        <v>70.2</v>
      </c>
      <c r="Z815" s="35" t="s">
        <v>531</v>
      </c>
      <c r="AA815" s="35">
        <v>5.48</v>
      </c>
      <c r="AB815" s="35">
        <v>1.1599999999999999</v>
      </c>
      <c r="AD815" s="35" t="s">
        <v>1499</v>
      </c>
      <c r="AE815" s="35" t="s">
        <v>159</v>
      </c>
      <c r="AF815" s="152" t="s">
        <v>159</v>
      </c>
      <c r="AG815" s="35" t="s">
        <v>160</v>
      </c>
      <c r="AH815" s="154" t="s">
        <v>160</v>
      </c>
      <c r="AR815" s="35" t="s">
        <v>147</v>
      </c>
      <c r="AS815" s="35">
        <v>2</v>
      </c>
      <c r="AT815" s="35">
        <v>2</v>
      </c>
      <c r="AU815" s="35" t="s">
        <v>169</v>
      </c>
      <c r="AY815" s="63"/>
      <c r="DC815" s="35">
        <v>84.75</v>
      </c>
      <c r="DD815" s="35">
        <v>81.73</v>
      </c>
      <c r="DE815" s="35" t="s">
        <v>684</v>
      </c>
      <c r="FR815" s="35" t="s">
        <v>824</v>
      </c>
      <c r="FT815" s="35">
        <v>41</v>
      </c>
    </row>
    <row r="816" spans="1:176" s="35" customFormat="1" x14ac:dyDescent="0.25">
      <c r="A816" s="35">
        <v>41</v>
      </c>
      <c r="B816" s="35" t="s">
        <v>680</v>
      </c>
      <c r="C816" s="35" t="s">
        <v>681</v>
      </c>
      <c r="D816" s="35">
        <v>1994</v>
      </c>
      <c r="E816" s="35">
        <v>1987</v>
      </c>
      <c r="F816" s="35" t="s">
        <v>498</v>
      </c>
      <c r="G816" s="35" t="s">
        <v>683</v>
      </c>
      <c r="H816" s="35">
        <v>38.03</v>
      </c>
      <c r="I816" s="35">
        <v>-84.51</v>
      </c>
      <c r="J816" s="35">
        <v>299.60000000000002</v>
      </c>
      <c r="P816" s="54">
        <v>3</v>
      </c>
      <c r="Q816" s="54"/>
      <c r="R816" s="54" t="s">
        <v>692</v>
      </c>
      <c r="S816" s="54" t="s">
        <v>1555</v>
      </c>
      <c r="T816" s="54" t="s">
        <v>1555</v>
      </c>
      <c r="U816" s="54" t="s">
        <v>1555</v>
      </c>
      <c r="V816" s="54" t="s">
        <v>1903</v>
      </c>
      <c r="W816" s="35">
        <v>1.05</v>
      </c>
      <c r="X816" s="35">
        <v>7.3</v>
      </c>
      <c r="Y816" s="35">
        <v>70.2</v>
      </c>
      <c r="Z816" s="35" t="s">
        <v>531</v>
      </c>
      <c r="AA816" s="35">
        <v>5.48</v>
      </c>
      <c r="AB816" s="35">
        <v>1.1599999999999999</v>
      </c>
      <c r="AD816" s="35" t="s">
        <v>1499</v>
      </c>
      <c r="AE816" s="35" t="s">
        <v>159</v>
      </c>
      <c r="AF816" s="152" t="s">
        <v>159</v>
      </c>
      <c r="AG816" s="35" t="s">
        <v>160</v>
      </c>
      <c r="AH816" s="154" t="s">
        <v>160</v>
      </c>
      <c r="AR816" s="35" t="s">
        <v>147</v>
      </c>
      <c r="AS816" s="35">
        <v>2</v>
      </c>
      <c r="AT816" s="35">
        <v>2</v>
      </c>
      <c r="AU816" s="35" t="s">
        <v>169</v>
      </c>
      <c r="AY816" s="63"/>
      <c r="DC816" s="35">
        <v>87.58</v>
      </c>
      <c r="DD816" s="35">
        <v>85.64</v>
      </c>
      <c r="DE816" s="35" t="s">
        <v>684</v>
      </c>
      <c r="FR816" s="35" t="s">
        <v>824</v>
      </c>
      <c r="FT816" s="35">
        <v>41</v>
      </c>
    </row>
    <row r="817" spans="1:176" s="35" customFormat="1" x14ac:dyDescent="0.25">
      <c r="A817" s="35">
        <v>41</v>
      </c>
      <c r="B817" s="35" t="s">
        <v>680</v>
      </c>
      <c r="C817" s="35" t="s">
        <v>681</v>
      </c>
      <c r="D817" s="35">
        <v>1994</v>
      </c>
      <c r="E817" s="35">
        <v>1987</v>
      </c>
      <c r="F817" s="35" t="s">
        <v>498</v>
      </c>
      <c r="G817" s="35" t="s">
        <v>683</v>
      </c>
      <c r="H817" s="35">
        <v>38.03</v>
      </c>
      <c r="I817" s="35">
        <v>-84.51</v>
      </c>
      <c r="J817" s="35">
        <v>299.60000000000002</v>
      </c>
      <c r="P817" s="54">
        <v>3</v>
      </c>
      <c r="Q817" s="54"/>
      <c r="R817" s="54" t="s">
        <v>250</v>
      </c>
      <c r="S817" s="54" t="s">
        <v>1555</v>
      </c>
      <c r="T817" s="54" t="s">
        <v>1555</v>
      </c>
      <c r="U817" s="54" t="s">
        <v>1555</v>
      </c>
      <c r="V817" s="54" t="s">
        <v>1903</v>
      </c>
      <c r="W817" s="35">
        <v>1.05</v>
      </c>
      <c r="X817" s="35">
        <v>7.3</v>
      </c>
      <c r="Y817" s="35">
        <v>70.2</v>
      </c>
      <c r="Z817" s="35" t="s">
        <v>531</v>
      </c>
      <c r="AA817" s="35">
        <v>5.48</v>
      </c>
      <c r="AB817" s="35">
        <v>1.1599999999999999</v>
      </c>
      <c r="AD817" s="35" t="s">
        <v>1499</v>
      </c>
      <c r="AE817" s="35" t="s">
        <v>159</v>
      </c>
      <c r="AF817" s="152" t="s">
        <v>159</v>
      </c>
      <c r="AG817" s="35" t="s">
        <v>160</v>
      </c>
      <c r="AH817" s="154" t="s">
        <v>160</v>
      </c>
      <c r="AR817" s="35" t="s">
        <v>147</v>
      </c>
      <c r="AS817" s="35">
        <v>2</v>
      </c>
      <c r="AT817" s="35">
        <v>2</v>
      </c>
      <c r="AU817" s="35" t="s">
        <v>169</v>
      </c>
      <c r="AY817" s="63"/>
      <c r="DC817" s="35">
        <v>95.59</v>
      </c>
      <c r="DD817" s="35">
        <v>74.66</v>
      </c>
      <c r="DE817" s="35" t="s">
        <v>684</v>
      </c>
      <c r="FR817" s="35" t="s">
        <v>824</v>
      </c>
      <c r="FT817" s="35">
        <v>41</v>
      </c>
    </row>
    <row r="818" spans="1:176" s="35" customFormat="1" x14ac:dyDescent="0.25">
      <c r="A818" s="35">
        <v>41</v>
      </c>
      <c r="B818" s="35" t="s">
        <v>680</v>
      </c>
      <c r="C818" s="35" t="s">
        <v>681</v>
      </c>
      <c r="D818" s="35">
        <v>1994</v>
      </c>
      <c r="E818" s="35">
        <v>1987</v>
      </c>
      <c r="F818" s="35" t="s">
        <v>498</v>
      </c>
      <c r="G818" s="35" t="s">
        <v>683</v>
      </c>
      <c r="H818" s="35">
        <v>38.03</v>
      </c>
      <c r="I818" s="35">
        <v>-84.51</v>
      </c>
      <c r="J818" s="35">
        <v>299.60000000000002</v>
      </c>
      <c r="P818" s="54">
        <v>3</v>
      </c>
      <c r="Q818" s="54"/>
      <c r="R818" s="54" t="s">
        <v>689</v>
      </c>
      <c r="S818" s="54" t="s">
        <v>1555</v>
      </c>
      <c r="T818" s="54" t="s">
        <v>1555</v>
      </c>
      <c r="U818" s="54" t="s">
        <v>1555</v>
      </c>
      <c r="V818" s="54" t="s">
        <v>1903</v>
      </c>
      <c r="W818" s="35">
        <v>1.05</v>
      </c>
      <c r="X818" s="35">
        <v>7.3</v>
      </c>
      <c r="Y818" s="35">
        <v>70.2</v>
      </c>
      <c r="Z818" s="35" t="s">
        <v>531</v>
      </c>
      <c r="AA818" s="35">
        <v>5.48</v>
      </c>
      <c r="AB818" s="35">
        <v>1.1599999999999999</v>
      </c>
      <c r="AD818" s="35" t="s">
        <v>1499</v>
      </c>
      <c r="AE818" s="35" t="s">
        <v>159</v>
      </c>
      <c r="AF818" s="152" t="s">
        <v>159</v>
      </c>
      <c r="AG818" s="35" t="s">
        <v>160</v>
      </c>
      <c r="AH818" s="154" t="s">
        <v>160</v>
      </c>
      <c r="AR818" s="35" t="s">
        <v>147</v>
      </c>
      <c r="AS818" s="35">
        <v>2</v>
      </c>
      <c r="AT818" s="35">
        <v>2</v>
      </c>
      <c r="AU818" s="35" t="s">
        <v>169</v>
      </c>
      <c r="AY818" s="63"/>
      <c r="DC818" s="35">
        <v>79.63</v>
      </c>
      <c r="DD818" s="35">
        <v>51.37</v>
      </c>
      <c r="DE818" s="35" t="s">
        <v>684</v>
      </c>
      <c r="FR818" s="35" t="s">
        <v>824</v>
      </c>
      <c r="FT818" s="35">
        <v>41</v>
      </c>
    </row>
    <row r="819" spans="1:176" s="35" customFormat="1" x14ac:dyDescent="0.25">
      <c r="A819" s="35">
        <v>41</v>
      </c>
      <c r="B819" s="35" t="s">
        <v>680</v>
      </c>
      <c r="C819" s="35" t="s">
        <v>681</v>
      </c>
      <c r="D819" s="35">
        <v>1994</v>
      </c>
      <c r="E819" s="35">
        <v>1987</v>
      </c>
      <c r="F819" s="35" t="s">
        <v>498</v>
      </c>
      <c r="G819" s="35" t="s">
        <v>683</v>
      </c>
      <c r="H819" s="35">
        <v>38.03</v>
      </c>
      <c r="I819" s="35">
        <v>-84.51</v>
      </c>
      <c r="J819" s="35">
        <v>299.60000000000002</v>
      </c>
      <c r="P819" s="54">
        <v>3</v>
      </c>
      <c r="Q819" s="54"/>
      <c r="R819" s="54" t="s">
        <v>239</v>
      </c>
      <c r="S819" s="54" t="s">
        <v>1555</v>
      </c>
      <c r="T819" s="54" t="s">
        <v>1555</v>
      </c>
      <c r="U819" s="54" t="s">
        <v>1555</v>
      </c>
      <c r="V819" s="54" t="s">
        <v>1903</v>
      </c>
      <c r="W819" s="35">
        <v>1.05</v>
      </c>
      <c r="X819" s="35">
        <v>7.3</v>
      </c>
      <c r="Y819" s="35">
        <v>70.2</v>
      </c>
      <c r="Z819" s="35" t="s">
        <v>531</v>
      </c>
      <c r="AA819" s="35">
        <v>5.48</v>
      </c>
      <c r="AB819" s="35">
        <v>1.1599999999999999</v>
      </c>
      <c r="AD819" s="35" t="s">
        <v>1499</v>
      </c>
      <c r="AE819" s="35" t="s">
        <v>159</v>
      </c>
      <c r="AF819" s="152" t="s">
        <v>159</v>
      </c>
      <c r="AG819" s="35" t="s">
        <v>160</v>
      </c>
      <c r="AH819" s="154" t="s">
        <v>160</v>
      </c>
      <c r="AR819" s="35" t="s">
        <v>147</v>
      </c>
      <c r="AS819" s="35">
        <v>2</v>
      </c>
      <c r="AT819" s="35">
        <v>2</v>
      </c>
      <c r="AU819" s="35" t="s">
        <v>169</v>
      </c>
      <c r="AY819" s="63"/>
      <c r="DC819" s="35">
        <v>17.940000000000001</v>
      </c>
      <c r="DD819" s="35">
        <v>0.24</v>
      </c>
      <c r="DE819" s="35" t="s">
        <v>684</v>
      </c>
      <c r="FR819" s="35" t="s">
        <v>824</v>
      </c>
      <c r="FT819" s="35">
        <v>41</v>
      </c>
    </row>
    <row r="820" spans="1:176" s="35" customFormat="1" x14ac:dyDescent="0.25">
      <c r="A820" s="35">
        <v>41</v>
      </c>
      <c r="B820" s="35" t="s">
        <v>680</v>
      </c>
      <c r="C820" s="35" t="s">
        <v>681</v>
      </c>
      <c r="D820" s="35">
        <v>1994</v>
      </c>
      <c r="E820" s="35">
        <v>1987</v>
      </c>
      <c r="F820" s="35" t="s">
        <v>498</v>
      </c>
      <c r="G820" s="35" t="s">
        <v>683</v>
      </c>
      <c r="H820" s="35">
        <v>38.03</v>
      </c>
      <c r="I820" s="35">
        <v>-84.51</v>
      </c>
      <c r="J820" s="35">
        <v>299.60000000000002</v>
      </c>
      <c r="P820" s="54">
        <v>3</v>
      </c>
      <c r="Q820" s="54"/>
      <c r="R820" s="54" t="s">
        <v>685</v>
      </c>
      <c r="S820" s="54" t="s">
        <v>1555</v>
      </c>
      <c r="T820" s="54" t="s">
        <v>1555</v>
      </c>
      <c r="U820" s="54" t="s">
        <v>1555</v>
      </c>
      <c r="V820" s="54" t="s">
        <v>1903</v>
      </c>
      <c r="W820" s="35">
        <v>1.05</v>
      </c>
      <c r="X820" s="35">
        <v>7.3</v>
      </c>
      <c r="Y820" s="35">
        <v>70.2</v>
      </c>
      <c r="Z820" s="35" t="s">
        <v>531</v>
      </c>
      <c r="AA820" s="35">
        <v>5.48</v>
      </c>
      <c r="AB820" s="35">
        <v>1.1599999999999999</v>
      </c>
      <c r="AD820" s="35" t="s">
        <v>1499</v>
      </c>
      <c r="AE820" s="35" t="s">
        <v>159</v>
      </c>
      <c r="AF820" s="152" t="s">
        <v>159</v>
      </c>
      <c r="AG820" s="35" t="s">
        <v>160</v>
      </c>
      <c r="AH820" s="154" t="s">
        <v>160</v>
      </c>
      <c r="AR820" s="35" t="s">
        <v>147</v>
      </c>
      <c r="AS820" s="35">
        <v>2</v>
      </c>
      <c r="AT820" s="35">
        <v>2</v>
      </c>
      <c r="AU820" s="35" t="s">
        <v>169</v>
      </c>
      <c r="AY820" s="63"/>
      <c r="DC820" s="35">
        <v>30.46</v>
      </c>
      <c r="DD820" s="35">
        <v>0.26</v>
      </c>
      <c r="DE820" s="35" t="s">
        <v>684</v>
      </c>
      <c r="FR820" s="35" t="s">
        <v>824</v>
      </c>
      <c r="FT820" s="35">
        <v>41</v>
      </c>
    </row>
    <row r="821" spans="1:176" s="35" customFormat="1" x14ac:dyDescent="0.25">
      <c r="A821" s="35">
        <v>41</v>
      </c>
      <c r="B821" s="35" t="s">
        <v>680</v>
      </c>
      <c r="C821" s="35" t="s">
        <v>681</v>
      </c>
      <c r="D821" s="35">
        <v>1994</v>
      </c>
      <c r="E821" s="35">
        <v>1987</v>
      </c>
      <c r="F821" s="35" t="s">
        <v>498</v>
      </c>
      <c r="G821" s="35" t="s">
        <v>683</v>
      </c>
      <c r="H821" s="35">
        <v>38.03</v>
      </c>
      <c r="I821" s="35">
        <v>-84.51</v>
      </c>
      <c r="J821" s="35">
        <v>299.60000000000002</v>
      </c>
      <c r="P821" s="54">
        <v>3</v>
      </c>
      <c r="Q821" s="54"/>
      <c r="R821" s="54" t="s">
        <v>264</v>
      </c>
      <c r="S821" s="54" t="s">
        <v>1555</v>
      </c>
      <c r="T821" s="54" t="s">
        <v>1555</v>
      </c>
      <c r="U821" s="54" t="s">
        <v>1555</v>
      </c>
      <c r="V821" s="54" t="s">
        <v>1903</v>
      </c>
      <c r="W821" s="35">
        <v>1.05</v>
      </c>
      <c r="X821" s="35">
        <v>7.3</v>
      </c>
      <c r="Y821" s="35">
        <v>70.2</v>
      </c>
      <c r="Z821" s="35" t="s">
        <v>531</v>
      </c>
      <c r="AA821" s="35">
        <v>5.48</v>
      </c>
      <c r="AB821" s="35">
        <v>1.1599999999999999</v>
      </c>
      <c r="AD821" s="35" t="s">
        <v>1499</v>
      </c>
      <c r="AE821" s="35" t="s">
        <v>159</v>
      </c>
      <c r="AF821" s="152" t="s">
        <v>159</v>
      </c>
      <c r="AG821" s="35" t="s">
        <v>160</v>
      </c>
      <c r="AH821" s="154" t="s">
        <v>160</v>
      </c>
      <c r="AR821" s="35" t="s">
        <v>147</v>
      </c>
      <c r="AS821" s="35">
        <v>2</v>
      </c>
      <c r="AT821" s="35">
        <v>2</v>
      </c>
      <c r="AU821" s="35" t="s">
        <v>169</v>
      </c>
      <c r="AY821" s="63"/>
      <c r="DC821" s="35">
        <v>48.81</v>
      </c>
      <c r="DD821" s="35">
        <v>15.59</v>
      </c>
      <c r="DE821" s="35" t="s">
        <v>684</v>
      </c>
      <c r="FR821" s="35" t="s">
        <v>824</v>
      </c>
      <c r="FT821" s="35">
        <v>41</v>
      </c>
    </row>
    <row r="822" spans="1:176" s="35" customFormat="1" x14ac:dyDescent="0.25">
      <c r="A822" s="35">
        <v>41</v>
      </c>
      <c r="B822" s="35" t="s">
        <v>680</v>
      </c>
      <c r="C822" s="35" t="s">
        <v>681</v>
      </c>
      <c r="D822" s="35">
        <v>1994</v>
      </c>
      <c r="E822" s="35">
        <v>1987</v>
      </c>
      <c r="F822" s="35" t="s">
        <v>498</v>
      </c>
      <c r="G822" s="35" t="s">
        <v>683</v>
      </c>
      <c r="H822" s="35">
        <v>38.03</v>
      </c>
      <c r="I822" s="35">
        <v>-84.51</v>
      </c>
      <c r="J822" s="35">
        <v>299.60000000000002</v>
      </c>
      <c r="P822" s="54">
        <v>3</v>
      </c>
      <c r="Q822" s="54"/>
      <c r="R822" s="54" t="s">
        <v>686</v>
      </c>
      <c r="S822" s="54" t="s">
        <v>1555</v>
      </c>
      <c r="T822" s="54" t="s">
        <v>1555</v>
      </c>
      <c r="U822" s="54" t="s">
        <v>1555</v>
      </c>
      <c r="V822" s="54" t="s">
        <v>1903</v>
      </c>
      <c r="W822" s="35">
        <v>1.05</v>
      </c>
      <c r="X822" s="35">
        <v>7.3</v>
      </c>
      <c r="Y822" s="35">
        <v>70.2</v>
      </c>
      <c r="Z822" s="35" t="s">
        <v>531</v>
      </c>
      <c r="AA822" s="35">
        <v>5.48</v>
      </c>
      <c r="AB822" s="35">
        <v>1.1599999999999999</v>
      </c>
      <c r="AD822" s="35" t="s">
        <v>1499</v>
      </c>
      <c r="AE822" s="35" t="s">
        <v>159</v>
      </c>
      <c r="AF822" s="152" t="s">
        <v>159</v>
      </c>
      <c r="AG822" s="35" t="s">
        <v>160</v>
      </c>
      <c r="AH822" s="154" t="s">
        <v>160</v>
      </c>
      <c r="AR822" s="35" t="s">
        <v>147</v>
      </c>
      <c r="AS822" s="35">
        <v>2</v>
      </c>
      <c r="AT822" s="35">
        <v>2</v>
      </c>
      <c r="AU822" s="35" t="s">
        <v>169</v>
      </c>
      <c r="AY822" s="63"/>
      <c r="DC822" s="35">
        <v>35.020000000000003</v>
      </c>
      <c r="DD822" s="35">
        <v>35.020000000000003</v>
      </c>
      <c r="DE822" s="35" t="s">
        <v>684</v>
      </c>
      <c r="FR822" s="35" t="s">
        <v>824</v>
      </c>
      <c r="FT822" s="35">
        <v>41</v>
      </c>
    </row>
    <row r="823" spans="1:176" s="35" customFormat="1" x14ac:dyDescent="0.25">
      <c r="A823" s="35">
        <v>41</v>
      </c>
      <c r="B823" s="35" t="s">
        <v>680</v>
      </c>
      <c r="C823" s="35" t="s">
        <v>681</v>
      </c>
      <c r="D823" s="35">
        <v>1994</v>
      </c>
      <c r="E823" s="35">
        <v>1987</v>
      </c>
      <c r="F823" s="35" t="s">
        <v>498</v>
      </c>
      <c r="G823" s="35" t="s">
        <v>683</v>
      </c>
      <c r="H823" s="35">
        <v>38.03</v>
      </c>
      <c r="I823" s="35">
        <v>-84.51</v>
      </c>
      <c r="J823" s="35">
        <v>299.60000000000002</v>
      </c>
      <c r="P823" s="54">
        <v>3</v>
      </c>
      <c r="Q823" s="54"/>
      <c r="R823" s="54" t="s">
        <v>690</v>
      </c>
      <c r="S823" s="54" t="s">
        <v>1555</v>
      </c>
      <c r="T823" s="54" t="s">
        <v>1555</v>
      </c>
      <c r="U823" s="54" t="s">
        <v>1555</v>
      </c>
      <c r="V823" s="54" t="s">
        <v>1903</v>
      </c>
      <c r="W823" s="35">
        <v>1.05</v>
      </c>
      <c r="X823" s="35">
        <v>7.3</v>
      </c>
      <c r="Y823" s="35">
        <v>70.2</v>
      </c>
      <c r="Z823" s="35" t="s">
        <v>531</v>
      </c>
      <c r="AA823" s="35">
        <v>5.48</v>
      </c>
      <c r="AB823" s="35">
        <v>1.1599999999999999</v>
      </c>
      <c r="AD823" s="35" t="s">
        <v>1499</v>
      </c>
      <c r="AE823" s="35" t="s">
        <v>159</v>
      </c>
      <c r="AF823" s="152" t="s">
        <v>159</v>
      </c>
      <c r="AG823" s="35" t="s">
        <v>160</v>
      </c>
      <c r="AH823" s="154" t="s">
        <v>160</v>
      </c>
      <c r="AR823" s="35" t="s">
        <v>147</v>
      </c>
      <c r="AS823" s="35">
        <v>2</v>
      </c>
      <c r="AT823" s="35">
        <v>2</v>
      </c>
      <c r="AU823" s="35" t="s">
        <v>169</v>
      </c>
      <c r="AY823" s="63"/>
      <c r="DC823" s="35">
        <v>0.5</v>
      </c>
      <c r="DD823" s="35">
        <v>0.5</v>
      </c>
      <c r="DE823" s="35" t="s">
        <v>684</v>
      </c>
      <c r="FR823" s="35" t="s">
        <v>824</v>
      </c>
      <c r="FT823" s="35">
        <v>41</v>
      </c>
    </row>
    <row r="824" spans="1:176" s="35" customFormat="1" x14ac:dyDescent="0.25">
      <c r="A824" s="35">
        <v>41</v>
      </c>
      <c r="B824" s="35" t="s">
        <v>680</v>
      </c>
      <c r="C824" s="35" t="s">
        <v>681</v>
      </c>
      <c r="D824" s="35">
        <v>1994</v>
      </c>
      <c r="E824" s="35">
        <v>1987</v>
      </c>
      <c r="F824" s="35" t="s">
        <v>498</v>
      </c>
      <c r="G824" s="35" t="s">
        <v>683</v>
      </c>
      <c r="H824" s="35">
        <v>38.03</v>
      </c>
      <c r="I824" s="35">
        <v>-84.51</v>
      </c>
      <c r="J824" s="35">
        <v>299.60000000000002</v>
      </c>
      <c r="P824" s="54">
        <v>3</v>
      </c>
      <c r="Q824" s="54"/>
      <c r="R824" s="54" t="s">
        <v>606</v>
      </c>
      <c r="S824" s="54" t="s">
        <v>1555</v>
      </c>
      <c r="T824" s="54" t="s">
        <v>1555</v>
      </c>
      <c r="U824" s="54" t="s">
        <v>1555</v>
      </c>
      <c r="V824" s="54" t="s">
        <v>1903</v>
      </c>
      <c r="W824" s="35">
        <v>1.05</v>
      </c>
      <c r="X824" s="35">
        <v>7.3</v>
      </c>
      <c r="Y824" s="35">
        <v>70.2</v>
      </c>
      <c r="Z824" s="35" t="s">
        <v>531</v>
      </c>
      <c r="AA824" s="35">
        <v>5.48</v>
      </c>
      <c r="AB824" s="35">
        <v>1.1599999999999999</v>
      </c>
      <c r="AD824" s="35" t="s">
        <v>1499</v>
      </c>
      <c r="AE824" s="35" t="s">
        <v>159</v>
      </c>
      <c r="AF824" s="152" t="s">
        <v>159</v>
      </c>
      <c r="AG824" s="35" t="s">
        <v>160</v>
      </c>
      <c r="AH824" s="154" t="s">
        <v>160</v>
      </c>
      <c r="AR824" s="35" t="s">
        <v>147</v>
      </c>
      <c r="AS824" s="35">
        <v>2</v>
      </c>
      <c r="AT824" s="35">
        <v>2</v>
      </c>
      <c r="AU824" s="35" t="s">
        <v>169</v>
      </c>
      <c r="AY824" s="63"/>
      <c r="DC824" s="35">
        <v>0.17</v>
      </c>
      <c r="DD824" s="35">
        <v>0.17</v>
      </c>
      <c r="DE824" s="35" t="s">
        <v>684</v>
      </c>
      <c r="FR824" s="35" t="s">
        <v>824</v>
      </c>
      <c r="FT824" s="35">
        <v>41</v>
      </c>
    </row>
    <row r="825" spans="1:176" s="35" customFormat="1" x14ac:dyDescent="0.25">
      <c r="A825" s="35">
        <v>41</v>
      </c>
      <c r="B825" s="35" t="s">
        <v>680</v>
      </c>
      <c r="C825" s="35" t="s">
        <v>681</v>
      </c>
      <c r="D825" s="35">
        <v>1994</v>
      </c>
      <c r="E825" s="35">
        <v>1987</v>
      </c>
      <c r="F825" s="35" t="s">
        <v>498</v>
      </c>
      <c r="G825" s="35" t="s">
        <v>683</v>
      </c>
      <c r="H825" s="35">
        <v>38.03</v>
      </c>
      <c r="I825" s="35">
        <v>-84.51</v>
      </c>
      <c r="J825" s="35">
        <v>299.60000000000002</v>
      </c>
      <c r="P825" s="54">
        <v>3</v>
      </c>
      <c r="Q825" s="54"/>
      <c r="R825" s="54" t="s">
        <v>688</v>
      </c>
      <c r="S825" s="54" t="s">
        <v>1555</v>
      </c>
      <c r="T825" s="54" t="s">
        <v>1555</v>
      </c>
      <c r="U825" s="54" t="s">
        <v>1555</v>
      </c>
      <c r="V825" s="54" t="s">
        <v>1903</v>
      </c>
      <c r="W825" s="35">
        <v>1.05</v>
      </c>
      <c r="X825" s="35">
        <v>7.3</v>
      </c>
      <c r="Y825" s="35">
        <v>70.2</v>
      </c>
      <c r="Z825" s="35" t="s">
        <v>531</v>
      </c>
      <c r="AA825" s="35">
        <v>5.48</v>
      </c>
      <c r="AB825" s="35">
        <v>1.1599999999999999</v>
      </c>
      <c r="AD825" s="35" t="s">
        <v>1499</v>
      </c>
      <c r="AE825" s="35" t="s">
        <v>159</v>
      </c>
      <c r="AF825" s="152" t="s">
        <v>159</v>
      </c>
      <c r="AG825" s="35" t="s">
        <v>160</v>
      </c>
      <c r="AH825" s="154" t="s">
        <v>160</v>
      </c>
      <c r="AR825" s="35" t="s">
        <v>147</v>
      </c>
      <c r="AS825" s="35">
        <v>2</v>
      </c>
      <c r="AT825" s="35">
        <v>2</v>
      </c>
      <c r="AU825" s="35" t="s">
        <v>169</v>
      </c>
      <c r="AY825" s="63"/>
      <c r="DC825" s="35">
        <v>25.21</v>
      </c>
      <c r="DD825" s="35">
        <v>12.69</v>
      </c>
      <c r="DE825" s="35" t="s">
        <v>684</v>
      </c>
      <c r="FR825" s="35" t="s">
        <v>824</v>
      </c>
      <c r="FT825" s="35">
        <v>41</v>
      </c>
    </row>
    <row r="826" spans="1:176" s="26" customFormat="1" x14ac:dyDescent="0.25">
      <c r="A826" s="26">
        <v>41</v>
      </c>
      <c r="B826" s="26" t="s">
        <v>680</v>
      </c>
      <c r="C826" s="26" t="s">
        <v>681</v>
      </c>
      <c r="D826" s="26">
        <v>1994</v>
      </c>
      <c r="E826" s="26">
        <v>1988</v>
      </c>
      <c r="F826" s="26" t="s">
        <v>498</v>
      </c>
      <c r="G826" s="26" t="s">
        <v>683</v>
      </c>
      <c r="H826" s="26">
        <v>38.03</v>
      </c>
      <c r="I826" s="26">
        <v>-84.51</v>
      </c>
      <c r="J826" s="26">
        <v>299.60000000000002</v>
      </c>
      <c r="P826" s="52">
        <v>4</v>
      </c>
      <c r="Q826" s="52"/>
      <c r="R826" s="52" t="s">
        <v>691</v>
      </c>
      <c r="S826" s="52" t="s">
        <v>1555</v>
      </c>
      <c r="T826" s="52" t="s">
        <v>1555</v>
      </c>
      <c r="U826" s="52" t="s">
        <v>1555</v>
      </c>
      <c r="V826" s="52" t="s">
        <v>1903</v>
      </c>
      <c r="W826" s="26">
        <v>1.05</v>
      </c>
      <c r="X826" s="26">
        <v>7.3</v>
      </c>
      <c r="Y826" s="26">
        <v>70.2</v>
      </c>
      <c r="Z826" s="26" t="s">
        <v>531</v>
      </c>
      <c r="AA826" s="26">
        <v>5.48</v>
      </c>
      <c r="AB826" s="26">
        <v>1.1599999999999999</v>
      </c>
      <c r="AD826" s="26" t="s">
        <v>1499</v>
      </c>
      <c r="AE826" s="26" t="s">
        <v>159</v>
      </c>
      <c r="AF826" s="152" t="s">
        <v>159</v>
      </c>
      <c r="AG826" s="26" t="s">
        <v>160</v>
      </c>
      <c r="AH826" s="154" t="s">
        <v>160</v>
      </c>
      <c r="AR826" s="26" t="s">
        <v>147</v>
      </c>
      <c r="AS826" s="26">
        <v>2</v>
      </c>
      <c r="AT826" s="26">
        <v>2</v>
      </c>
      <c r="AU826" s="26" t="s">
        <v>169</v>
      </c>
      <c r="AY826" s="63"/>
      <c r="DC826" s="26">
        <v>95.55</v>
      </c>
      <c r="DD826" s="26">
        <v>92.09</v>
      </c>
      <c r="DE826" s="26" t="s">
        <v>684</v>
      </c>
      <c r="FR826" s="26" t="s">
        <v>824</v>
      </c>
      <c r="FT826" s="26">
        <v>41</v>
      </c>
    </row>
    <row r="827" spans="1:176" s="26" customFormat="1" x14ac:dyDescent="0.25">
      <c r="A827" s="26">
        <v>41</v>
      </c>
      <c r="B827" s="26" t="s">
        <v>680</v>
      </c>
      <c r="C827" s="26" t="s">
        <v>681</v>
      </c>
      <c r="D827" s="26">
        <v>1994</v>
      </c>
      <c r="E827" s="26">
        <v>1988</v>
      </c>
      <c r="F827" s="26" t="s">
        <v>498</v>
      </c>
      <c r="G827" s="26" t="s">
        <v>683</v>
      </c>
      <c r="H827" s="26">
        <v>38.03</v>
      </c>
      <c r="I827" s="26">
        <v>-84.51</v>
      </c>
      <c r="J827" s="26">
        <v>299.60000000000002</v>
      </c>
      <c r="P827" s="52">
        <v>4</v>
      </c>
      <c r="Q827" s="52"/>
      <c r="R827" s="52" t="s">
        <v>692</v>
      </c>
      <c r="S827" s="52" t="s">
        <v>1555</v>
      </c>
      <c r="T827" s="52" t="s">
        <v>1555</v>
      </c>
      <c r="U827" s="52" t="s">
        <v>1555</v>
      </c>
      <c r="V827" s="52" t="s">
        <v>1903</v>
      </c>
      <c r="W827" s="26">
        <v>1.05</v>
      </c>
      <c r="X827" s="26">
        <v>7.3</v>
      </c>
      <c r="Y827" s="26">
        <v>70.2</v>
      </c>
      <c r="Z827" s="26" t="s">
        <v>531</v>
      </c>
      <c r="AA827" s="26">
        <v>5.48</v>
      </c>
      <c r="AB827" s="26">
        <v>1.1599999999999999</v>
      </c>
      <c r="AD827" s="26" t="s">
        <v>1499</v>
      </c>
      <c r="AE827" s="26" t="s">
        <v>159</v>
      </c>
      <c r="AF827" s="152" t="s">
        <v>159</v>
      </c>
      <c r="AG827" s="26" t="s">
        <v>160</v>
      </c>
      <c r="AH827" s="154" t="s">
        <v>160</v>
      </c>
      <c r="AR827" s="26" t="s">
        <v>147</v>
      </c>
      <c r="AS827" s="26">
        <v>2</v>
      </c>
      <c r="AT827" s="26">
        <v>2</v>
      </c>
      <c r="AU827" s="26" t="s">
        <v>169</v>
      </c>
      <c r="AY827" s="63"/>
      <c r="DC827" s="26">
        <v>81.97</v>
      </c>
      <c r="DD827" s="26">
        <v>79.599999999999994</v>
      </c>
      <c r="DE827" s="26" t="s">
        <v>684</v>
      </c>
      <c r="FR827" s="26" t="s">
        <v>824</v>
      </c>
      <c r="FT827" s="26">
        <v>41</v>
      </c>
    </row>
    <row r="828" spans="1:176" s="26" customFormat="1" x14ac:dyDescent="0.25">
      <c r="A828" s="26">
        <v>41</v>
      </c>
      <c r="B828" s="26" t="s">
        <v>680</v>
      </c>
      <c r="C828" s="26" t="s">
        <v>681</v>
      </c>
      <c r="D828" s="26">
        <v>1994</v>
      </c>
      <c r="E828" s="26">
        <v>1988</v>
      </c>
      <c r="F828" s="26" t="s">
        <v>498</v>
      </c>
      <c r="G828" s="26" t="s">
        <v>683</v>
      </c>
      <c r="H828" s="26">
        <v>38.03</v>
      </c>
      <c r="I828" s="26">
        <v>-84.51</v>
      </c>
      <c r="J828" s="26">
        <v>299.60000000000002</v>
      </c>
      <c r="P828" s="52">
        <v>4</v>
      </c>
      <c r="Q828" s="52"/>
      <c r="R828" s="52" t="s">
        <v>250</v>
      </c>
      <c r="S828" s="52" t="s">
        <v>1555</v>
      </c>
      <c r="T828" s="52" t="s">
        <v>1555</v>
      </c>
      <c r="U828" s="52" t="s">
        <v>1555</v>
      </c>
      <c r="V828" s="52" t="s">
        <v>1903</v>
      </c>
      <c r="W828" s="26">
        <v>1.05</v>
      </c>
      <c r="X828" s="26">
        <v>7.3</v>
      </c>
      <c r="Y828" s="26">
        <v>70.2</v>
      </c>
      <c r="Z828" s="26" t="s">
        <v>531</v>
      </c>
      <c r="AA828" s="26">
        <v>5.48</v>
      </c>
      <c r="AB828" s="26">
        <v>1.1599999999999999</v>
      </c>
      <c r="AD828" s="26" t="s">
        <v>1499</v>
      </c>
      <c r="AE828" s="26" t="s">
        <v>159</v>
      </c>
      <c r="AF828" s="152" t="s">
        <v>159</v>
      </c>
      <c r="AG828" s="26" t="s">
        <v>160</v>
      </c>
      <c r="AH828" s="154" t="s">
        <v>160</v>
      </c>
      <c r="AR828" s="26" t="s">
        <v>147</v>
      </c>
      <c r="AS828" s="26">
        <v>2</v>
      </c>
      <c r="AT828" s="26">
        <v>2</v>
      </c>
      <c r="AU828" s="26" t="s">
        <v>169</v>
      </c>
      <c r="AY828" s="63"/>
      <c r="DC828" s="26">
        <v>100</v>
      </c>
      <c r="DD828" s="26">
        <v>95.79</v>
      </c>
      <c r="DE828" s="26" t="s">
        <v>684</v>
      </c>
      <c r="FR828" s="26" t="s">
        <v>824</v>
      </c>
      <c r="FT828" s="26">
        <v>41</v>
      </c>
    </row>
    <row r="829" spans="1:176" s="26" customFormat="1" x14ac:dyDescent="0.25">
      <c r="A829" s="26">
        <v>41</v>
      </c>
      <c r="B829" s="26" t="s">
        <v>680</v>
      </c>
      <c r="C829" s="26" t="s">
        <v>681</v>
      </c>
      <c r="D829" s="26">
        <v>1994</v>
      </c>
      <c r="E829" s="26">
        <v>1988</v>
      </c>
      <c r="F829" s="26" t="s">
        <v>498</v>
      </c>
      <c r="G829" s="26" t="s">
        <v>683</v>
      </c>
      <c r="H829" s="26">
        <v>38.03</v>
      </c>
      <c r="I829" s="26">
        <v>-84.51</v>
      </c>
      <c r="J829" s="26">
        <v>299.60000000000002</v>
      </c>
      <c r="P829" s="52">
        <v>4</v>
      </c>
      <c r="Q829" s="52"/>
      <c r="R829" s="52" t="s">
        <v>689</v>
      </c>
      <c r="S829" s="52" t="s">
        <v>1555</v>
      </c>
      <c r="T829" s="52" t="s">
        <v>1555</v>
      </c>
      <c r="U829" s="52" t="s">
        <v>1555</v>
      </c>
      <c r="V829" s="52" t="s">
        <v>1903</v>
      </c>
      <c r="W829" s="26">
        <v>1.05</v>
      </c>
      <c r="X829" s="26">
        <v>7.3</v>
      </c>
      <c r="Y829" s="26">
        <v>70.2</v>
      </c>
      <c r="Z829" s="26" t="s">
        <v>531</v>
      </c>
      <c r="AA829" s="26">
        <v>5.48</v>
      </c>
      <c r="AB829" s="26">
        <v>1.1599999999999999</v>
      </c>
      <c r="AD829" s="26" t="s">
        <v>1499</v>
      </c>
      <c r="AE829" s="26" t="s">
        <v>159</v>
      </c>
      <c r="AF829" s="152" t="s">
        <v>159</v>
      </c>
      <c r="AG829" s="26" t="s">
        <v>160</v>
      </c>
      <c r="AH829" s="154" t="s">
        <v>160</v>
      </c>
      <c r="AR829" s="26" t="s">
        <v>147</v>
      </c>
      <c r="AS829" s="26">
        <v>2</v>
      </c>
      <c r="AT829" s="26">
        <v>2</v>
      </c>
      <c r="AU829" s="26" t="s">
        <v>169</v>
      </c>
      <c r="AY829" s="63"/>
      <c r="DC829" s="26">
        <v>85.89</v>
      </c>
      <c r="DD829" s="26">
        <v>83.51</v>
      </c>
      <c r="DE829" s="26" t="s">
        <v>684</v>
      </c>
      <c r="FR829" s="26" t="s">
        <v>824</v>
      </c>
      <c r="FT829" s="26">
        <v>41</v>
      </c>
    </row>
    <row r="830" spans="1:176" s="26" customFormat="1" x14ac:dyDescent="0.25">
      <c r="A830" s="26">
        <v>41</v>
      </c>
      <c r="B830" s="26" t="s">
        <v>680</v>
      </c>
      <c r="C830" s="26" t="s">
        <v>681</v>
      </c>
      <c r="D830" s="26">
        <v>1994</v>
      </c>
      <c r="E830" s="26">
        <v>1988</v>
      </c>
      <c r="F830" s="26" t="s">
        <v>498</v>
      </c>
      <c r="G830" s="26" t="s">
        <v>683</v>
      </c>
      <c r="H830" s="26">
        <v>38.03</v>
      </c>
      <c r="I830" s="26">
        <v>-84.51</v>
      </c>
      <c r="J830" s="26">
        <v>299.60000000000002</v>
      </c>
      <c r="P830" s="52">
        <v>4</v>
      </c>
      <c r="Q830" s="52"/>
      <c r="R830" s="52" t="s">
        <v>689</v>
      </c>
      <c r="S830" s="52" t="s">
        <v>1555</v>
      </c>
      <c r="T830" s="52" t="s">
        <v>1555</v>
      </c>
      <c r="U830" s="52" t="s">
        <v>1555</v>
      </c>
      <c r="V830" s="52" t="s">
        <v>1903</v>
      </c>
      <c r="W830" s="26">
        <v>1.05</v>
      </c>
      <c r="X830" s="26">
        <v>7.3</v>
      </c>
      <c r="Y830" s="26">
        <v>70.2</v>
      </c>
      <c r="Z830" s="26" t="s">
        <v>531</v>
      </c>
      <c r="AA830" s="26">
        <v>5.48</v>
      </c>
      <c r="AB830" s="26">
        <v>1.1599999999999999</v>
      </c>
      <c r="AD830" s="26" t="s">
        <v>1499</v>
      </c>
      <c r="AE830" s="26" t="s">
        <v>159</v>
      </c>
      <c r="AF830" s="152" t="s">
        <v>159</v>
      </c>
      <c r="AG830" s="26" t="s">
        <v>160</v>
      </c>
      <c r="AH830" s="154" t="s">
        <v>160</v>
      </c>
      <c r="AR830" s="26" t="s">
        <v>147</v>
      </c>
      <c r="AS830" s="26">
        <v>2</v>
      </c>
      <c r="AT830" s="26">
        <v>2</v>
      </c>
      <c r="AU830" s="26" t="s">
        <v>169</v>
      </c>
      <c r="AY830" s="63"/>
      <c r="DC830" s="26">
        <v>52.89</v>
      </c>
      <c r="DD830" s="26">
        <v>31.31</v>
      </c>
      <c r="DE830" s="26" t="s">
        <v>684</v>
      </c>
      <c r="FR830" s="26" t="s">
        <v>824</v>
      </c>
      <c r="FT830" s="26">
        <v>41</v>
      </c>
    </row>
    <row r="831" spans="1:176" s="26" customFormat="1" x14ac:dyDescent="0.25">
      <c r="A831" s="26">
        <v>41</v>
      </c>
      <c r="B831" s="26" t="s">
        <v>680</v>
      </c>
      <c r="C831" s="26" t="s">
        <v>681</v>
      </c>
      <c r="D831" s="26">
        <v>1994</v>
      </c>
      <c r="E831" s="26">
        <v>1988</v>
      </c>
      <c r="F831" s="26" t="s">
        <v>498</v>
      </c>
      <c r="G831" s="26" t="s">
        <v>683</v>
      </c>
      <c r="H831" s="26">
        <v>38.03</v>
      </c>
      <c r="I831" s="26">
        <v>-84.51</v>
      </c>
      <c r="J831" s="26">
        <v>299.60000000000002</v>
      </c>
      <c r="P831" s="52">
        <v>4</v>
      </c>
      <c r="Q831" s="52"/>
      <c r="R831" s="52" t="s">
        <v>239</v>
      </c>
      <c r="S831" s="52" t="s">
        <v>1555</v>
      </c>
      <c r="T831" s="52" t="s">
        <v>1555</v>
      </c>
      <c r="U831" s="52" t="s">
        <v>1555</v>
      </c>
      <c r="V831" s="52" t="s">
        <v>1903</v>
      </c>
      <c r="W831" s="26">
        <v>1.05</v>
      </c>
      <c r="X831" s="26">
        <v>7.3</v>
      </c>
      <c r="Y831" s="26">
        <v>70.2</v>
      </c>
      <c r="Z831" s="26" t="s">
        <v>531</v>
      </c>
      <c r="AA831" s="26">
        <v>5.48</v>
      </c>
      <c r="AB831" s="26">
        <v>1.1599999999999999</v>
      </c>
      <c r="AD831" s="26" t="s">
        <v>1499</v>
      </c>
      <c r="AE831" s="26" t="s">
        <v>159</v>
      </c>
      <c r="AF831" s="152" t="s">
        <v>159</v>
      </c>
      <c r="AG831" s="26" t="s">
        <v>160</v>
      </c>
      <c r="AH831" s="154" t="s">
        <v>160</v>
      </c>
      <c r="AR831" s="26" t="s">
        <v>147</v>
      </c>
      <c r="AS831" s="26">
        <v>2</v>
      </c>
      <c r="AT831" s="26">
        <v>2</v>
      </c>
      <c r="AU831" s="26" t="s">
        <v>169</v>
      </c>
      <c r="AY831" s="63"/>
      <c r="DC831" s="26">
        <v>82.67</v>
      </c>
      <c r="DD831" s="26">
        <v>75.98</v>
      </c>
      <c r="DE831" s="26" t="s">
        <v>684</v>
      </c>
      <c r="FR831" s="26" t="s">
        <v>824</v>
      </c>
      <c r="FT831" s="26">
        <v>41</v>
      </c>
    </row>
    <row r="832" spans="1:176" s="26" customFormat="1" x14ac:dyDescent="0.25">
      <c r="A832" s="26">
        <v>41</v>
      </c>
      <c r="B832" s="26" t="s">
        <v>680</v>
      </c>
      <c r="C832" s="26" t="s">
        <v>681</v>
      </c>
      <c r="D832" s="26">
        <v>1994</v>
      </c>
      <c r="E832" s="26">
        <v>1988</v>
      </c>
      <c r="F832" s="26" t="s">
        <v>498</v>
      </c>
      <c r="G832" s="26" t="s">
        <v>683</v>
      </c>
      <c r="H832" s="26">
        <v>38.03</v>
      </c>
      <c r="I832" s="26">
        <v>-84.51</v>
      </c>
      <c r="J832" s="26">
        <v>299.60000000000002</v>
      </c>
      <c r="P832" s="52">
        <v>4</v>
      </c>
      <c r="Q832" s="52"/>
      <c r="R832" s="52" t="s">
        <v>239</v>
      </c>
      <c r="S832" s="52" t="s">
        <v>1555</v>
      </c>
      <c r="T832" s="52" t="s">
        <v>1555</v>
      </c>
      <c r="U832" s="52" t="s">
        <v>1555</v>
      </c>
      <c r="V832" s="52" t="s">
        <v>1903</v>
      </c>
      <c r="W832" s="26">
        <v>1.05</v>
      </c>
      <c r="X832" s="26">
        <v>7.3</v>
      </c>
      <c r="Y832" s="26">
        <v>70.2</v>
      </c>
      <c r="Z832" s="26" t="s">
        <v>531</v>
      </c>
      <c r="AA832" s="26">
        <v>5.48</v>
      </c>
      <c r="AB832" s="26">
        <v>1.1599999999999999</v>
      </c>
      <c r="AD832" s="26" t="s">
        <v>1499</v>
      </c>
      <c r="AE832" s="26" t="s">
        <v>159</v>
      </c>
      <c r="AF832" s="152" t="s">
        <v>159</v>
      </c>
      <c r="AG832" s="26" t="s">
        <v>160</v>
      </c>
      <c r="AH832" s="154" t="s">
        <v>160</v>
      </c>
      <c r="AR832" s="26" t="s">
        <v>147</v>
      </c>
      <c r="AS832" s="26">
        <v>2</v>
      </c>
      <c r="AT832" s="26">
        <v>2</v>
      </c>
      <c r="AU832" s="26" t="s">
        <v>169</v>
      </c>
      <c r="AY832" s="63"/>
      <c r="DC832" s="26">
        <v>66.94</v>
      </c>
      <c r="DD832" s="26">
        <v>24.65</v>
      </c>
      <c r="DE832" s="26" t="s">
        <v>684</v>
      </c>
      <c r="FR832" s="26" t="s">
        <v>824</v>
      </c>
      <c r="FT832" s="26">
        <v>41</v>
      </c>
    </row>
    <row r="833" spans="1:176" s="26" customFormat="1" x14ac:dyDescent="0.25">
      <c r="A833" s="26">
        <v>41</v>
      </c>
      <c r="B833" s="26" t="s">
        <v>680</v>
      </c>
      <c r="C833" s="26" t="s">
        <v>681</v>
      </c>
      <c r="D833" s="26">
        <v>1994</v>
      </c>
      <c r="E833" s="26">
        <v>1988</v>
      </c>
      <c r="F833" s="26" t="s">
        <v>498</v>
      </c>
      <c r="G833" s="26" t="s">
        <v>683</v>
      </c>
      <c r="H833" s="26">
        <v>38.03</v>
      </c>
      <c r="I833" s="26">
        <v>-84.51</v>
      </c>
      <c r="J833" s="26">
        <v>299.60000000000002</v>
      </c>
      <c r="P833" s="52">
        <v>4</v>
      </c>
      <c r="Q833" s="52"/>
      <c r="R833" s="52" t="s">
        <v>685</v>
      </c>
      <c r="S833" s="52" t="s">
        <v>1555</v>
      </c>
      <c r="T833" s="52" t="s">
        <v>1555</v>
      </c>
      <c r="U833" s="52" t="s">
        <v>1555</v>
      </c>
      <c r="V833" s="52" t="s">
        <v>1903</v>
      </c>
      <c r="W833" s="26">
        <v>1.05</v>
      </c>
      <c r="X833" s="26">
        <v>7.3</v>
      </c>
      <c r="Y833" s="26">
        <v>70.2</v>
      </c>
      <c r="Z833" s="26" t="s">
        <v>531</v>
      </c>
      <c r="AA833" s="26">
        <v>5.48</v>
      </c>
      <c r="AB833" s="26">
        <v>1.1599999999999999</v>
      </c>
      <c r="AD833" s="26" t="s">
        <v>1499</v>
      </c>
      <c r="AE833" s="26" t="s">
        <v>159</v>
      </c>
      <c r="AF833" s="152" t="s">
        <v>159</v>
      </c>
      <c r="AG833" s="26" t="s">
        <v>160</v>
      </c>
      <c r="AH833" s="154" t="s">
        <v>160</v>
      </c>
      <c r="AR833" s="26" t="s">
        <v>147</v>
      </c>
      <c r="AS833" s="26">
        <v>2</v>
      </c>
      <c r="AT833" s="26">
        <v>2</v>
      </c>
      <c r="AU833" s="26" t="s">
        <v>169</v>
      </c>
      <c r="AY833" s="63"/>
      <c r="DC833" s="26">
        <v>28.97</v>
      </c>
      <c r="DD833" s="26">
        <v>16.03</v>
      </c>
      <c r="DE833" s="26" t="s">
        <v>684</v>
      </c>
      <c r="FR833" s="26" t="s">
        <v>824</v>
      </c>
      <c r="FT833" s="26">
        <v>41</v>
      </c>
    </row>
    <row r="834" spans="1:176" s="26" customFormat="1" x14ac:dyDescent="0.25">
      <c r="A834" s="26">
        <v>41</v>
      </c>
      <c r="B834" s="26" t="s">
        <v>680</v>
      </c>
      <c r="C834" s="26" t="s">
        <v>681</v>
      </c>
      <c r="D834" s="26">
        <v>1994</v>
      </c>
      <c r="E834" s="26">
        <v>1988</v>
      </c>
      <c r="F834" s="26" t="s">
        <v>498</v>
      </c>
      <c r="G834" s="26" t="s">
        <v>683</v>
      </c>
      <c r="H834" s="26">
        <v>38.03</v>
      </c>
      <c r="I834" s="26">
        <v>-84.51</v>
      </c>
      <c r="J834" s="26">
        <v>299.60000000000002</v>
      </c>
      <c r="P834" s="52">
        <v>4</v>
      </c>
      <c r="Q834" s="52"/>
      <c r="R834" s="52" t="s">
        <v>264</v>
      </c>
      <c r="S834" s="52" t="s">
        <v>1555</v>
      </c>
      <c r="T834" s="52" t="s">
        <v>1555</v>
      </c>
      <c r="U834" s="52" t="s">
        <v>1555</v>
      </c>
      <c r="V834" s="52" t="s">
        <v>1903</v>
      </c>
      <c r="W834" s="26">
        <v>1.05</v>
      </c>
      <c r="X834" s="26">
        <v>7.3</v>
      </c>
      <c r="Y834" s="26">
        <v>70.2</v>
      </c>
      <c r="Z834" s="26" t="s">
        <v>531</v>
      </c>
      <c r="AA834" s="26">
        <v>5.48</v>
      </c>
      <c r="AB834" s="26">
        <v>1.1599999999999999</v>
      </c>
      <c r="AD834" s="26" t="s">
        <v>1499</v>
      </c>
      <c r="AE834" s="26" t="s">
        <v>159</v>
      </c>
      <c r="AF834" s="152" t="s">
        <v>159</v>
      </c>
      <c r="AG834" s="26" t="s">
        <v>160</v>
      </c>
      <c r="AH834" s="154" t="s">
        <v>160</v>
      </c>
      <c r="AR834" s="26" t="s">
        <v>147</v>
      </c>
      <c r="AS834" s="26">
        <v>2</v>
      </c>
      <c r="AT834" s="26">
        <v>2</v>
      </c>
      <c r="AU834" s="26" t="s">
        <v>169</v>
      </c>
      <c r="AY834" s="63"/>
      <c r="DC834" s="26">
        <v>43.01</v>
      </c>
      <c r="DD834" s="26">
        <v>58.39</v>
      </c>
      <c r="DE834" s="26" t="s">
        <v>684</v>
      </c>
      <c r="FR834" s="26" t="s">
        <v>824</v>
      </c>
      <c r="FT834" s="26">
        <v>41</v>
      </c>
    </row>
    <row r="835" spans="1:176" s="26" customFormat="1" x14ac:dyDescent="0.25">
      <c r="A835" s="26">
        <v>41</v>
      </c>
      <c r="B835" s="26" t="s">
        <v>680</v>
      </c>
      <c r="C835" s="26" t="s">
        <v>681</v>
      </c>
      <c r="D835" s="26">
        <v>1994</v>
      </c>
      <c r="E835" s="26">
        <v>1988</v>
      </c>
      <c r="F835" s="26" t="s">
        <v>498</v>
      </c>
      <c r="G835" s="26" t="s">
        <v>683</v>
      </c>
      <c r="H835" s="26">
        <v>38.03</v>
      </c>
      <c r="I835" s="26">
        <v>-84.51</v>
      </c>
      <c r="J835" s="26">
        <v>299.60000000000002</v>
      </c>
      <c r="P835" s="52">
        <v>4</v>
      </c>
      <c r="Q835" s="52"/>
      <c r="R835" s="52" t="s">
        <v>686</v>
      </c>
      <c r="S835" s="52" t="s">
        <v>1555</v>
      </c>
      <c r="T835" s="52" t="s">
        <v>1555</v>
      </c>
      <c r="U835" s="52" t="s">
        <v>1555</v>
      </c>
      <c r="V835" s="52" t="s">
        <v>1903</v>
      </c>
      <c r="W835" s="26">
        <v>1.05</v>
      </c>
      <c r="X835" s="26">
        <v>7.3</v>
      </c>
      <c r="Y835" s="26">
        <v>70.2</v>
      </c>
      <c r="Z835" s="26" t="s">
        <v>531</v>
      </c>
      <c r="AA835" s="26">
        <v>5.48</v>
      </c>
      <c r="AB835" s="26">
        <v>1.1599999999999999</v>
      </c>
      <c r="AD835" s="26" t="s">
        <v>1499</v>
      </c>
      <c r="AE835" s="26" t="s">
        <v>159</v>
      </c>
      <c r="AF835" s="152" t="s">
        <v>159</v>
      </c>
      <c r="AG835" s="26" t="s">
        <v>160</v>
      </c>
      <c r="AH835" s="154" t="s">
        <v>160</v>
      </c>
      <c r="AR835" s="26" t="s">
        <v>147</v>
      </c>
      <c r="AS835" s="26">
        <v>2</v>
      </c>
      <c r="AT835" s="26">
        <v>2</v>
      </c>
      <c r="AU835" s="26" t="s">
        <v>169</v>
      </c>
      <c r="AY835" s="63"/>
      <c r="DC835" s="26">
        <v>1.59</v>
      </c>
      <c r="DD835" s="26">
        <v>15.62</v>
      </c>
      <c r="DE835" s="26" t="s">
        <v>684</v>
      </c>
      <c r="FR835" s="26" t="s">
        <v>824</v>
      </c>
      <c r="FT835" s="26">
        <v>41</v>
      </c>
    </row>
    <row r="836" spans="1:176" s="26" customFormat="1" x14ac:dyDescent="0.25">
      <c r="A836" s="26">
        <v>41</v>
      </c>
      <c r="B836" s="26" t="s">
        <v>680</v>
      </c>
      <c r="C836" s="26" t="s">
        <v>681</v>
      </c>
      <c r="D836" s="26">
        <v>1994</v>
      </c>
      <c r="E836" s="26">
        <v>1988</v>
      </c>
      <c r="F836" s="26" t="s">
        <v>498</v>
      </c>
      <c r="G836" s="26" t="s">
        <v>683</v>
      </c>
      <c r="H836" s="26">
        <v>38.03</v>
      </c>
      <c r="I836" s="26">
        <v>-84.51</v>
      </c>
      <c r="J836" s="26">
        <v>299.60000000000002</v>
      </c>
      <c r="P836" s="52">
        <v>4</v>
      </c>
      <c r="Q836" s="52"/>
      <c r="R836" s="52" t="s">
        <v>687</v>
      </c>
      <c r="S836" s="52" t="s">
        <v>1555</v>
      </c>
      <c r="T836" s="52" t="s">
        <v>1555</v>
      </c>
      <c r="U836" s="52" t="s">
        <v>1555</v>
      </c>
      <c r="V836" s="52" t="s">
        <v>1903</v>
      </c>
      <c r="W836" s="26">
        <v>1.05</v>
      </c>
      <c r="X836" s="26">
        <v>7.3</v>
      </c>
      <c r="Y836" s="26">
        <v>70.2</v>
      </c>
      <c r="Z836" s="26" t="s">
        <v>531</v>
      </c>
      <c r="AA836" s="26">
        <v>5.48</v>
      </c>
      <c r="AB836" s="26">
        <v>1.1599999999999999</v>
      </c>
      <c r="AD836" s="26" t="s">
        <v>1499</v>
      </c>
      <c r="AE836" s="26" t="s">
        <v>159</v>
      </c>
      <c r="AF836" s="152" t="s">
        <v>159</v>
      </c>
      <c r="AG836" s="26" t="s">
        <v>160</v>
      </c>
      <c r="AH836" s="154" t="s">
        <v>160</v>
      </c>
      <c r="AR836" s="26" t="s">
        <v>147</v>
      </c>
      <c r="AS836" s="26">
        <v>2</v>
      </c>
      <c r="AT836" s="26">
        <v>2</v>
      </c>
      <c r="AU836" s="26" t="s">
        <v>169</v>
      </c>
      <c r="AY836" s="63"/>
      <c r="DC836" s="26">
        <v>4.8499999999999996</v>
      </c>
      <c r="DD836" s="26">
        <v>10.67</v>
      </c>
      <c r="DE836" s="26" t="s">
        <v>684</v>
      </c>
      <c r="FR836" s="26" t="s">
        <v>824</v>
      </c>
      <c r="FT836" s="26">
        <v>41</v>
      </c>
    </row>
    <row r="837" spans="1:176" s="26" customFormat="1" x14ac:dyDescent="0.25">
      <c r="A837" s="26">
        <v>41</v>
      </c>
      <c r="B837" s="26" t="s">
        <v>680</v>
      </c>
      <c r="C837" s="26" t="s">
        <v>681</v>
      </c>
      <c r="D837" s="26">
        <v>1994</v>
      </c>
      <c r="E837" s="26">
        <v>1988</v>
      </c>
      <c r="F837" s="26" t="s">
        <v>498</v>
      </c>
      <c r="G837" s="26" t="s">
        <v>683</v>
      </c>
      <c r="H837" s="26">
        <v>38.03</v>
      </c>
      <c r="I837" s="26">
        <v>-84.51</v>
      </c>
      <c r="J837" s="26">
        <v>299.60000000000002</v>
      </c>
      <c r="P837" s="52">
        <v>4</v>
      </c>
      <c r="Q837" s="52"/>
      <c r="R837" s="52" t="s">
        <v>606</v>
      </c>
      <c r="S837" s="52" t="s">
        <v>1555</v>
      </c>
      <c r="T837" s="52" t="s">
        <v>1555</v>
      </c>
      <c r="U837" s="52" t="s">
        <v>1555</v>
      </c>
      <c r="V837" s="52" t="s">
        <v>1903</v>
      </c>
      <c r="W837" s="26">
        <v>1.05</v>
      </c>
      <c r="X837" s="26">
        <v>7.3</v>
      </c>
      <c r="Y837" s="26">
        <v>70.2</v>
      </c>
      <c r="Z837" s="26" t="s">
        <v>531</v>
      </c>
      <c r="AA837" s="26">
        <v>5.48</v>
      </c>
      <c r="AB837" s="26">
        <v>1.1599999999999999</v>
      </c>
      <c r="AD837" s="26" t="s">
        <v>1499</v>
      </c>
      <c r="AE837" s="26" t="s">
        <v>159</v>
      </c>
      <c r="AF837" s="152" t="s">
        <v>159</v>
      </c>
      <c r="AG837" s="26" t="s">
        <v>160</v>
      </c>
      <c r="AH837" s="154" t="s">
        <v>160</v>
      </c>
      <c r="AR837" s="26" t="s">
        <v>147</v>
      </c>
      <c r="AS837" s="26">
        <v>2</v>
      </c>
      <c r="AT837" s="26">
        <v>2</v>
      </c>
      <c r="AU837" s="26" t="s">
        <v>169</v>
      </c>
      <c r="AY837" s="63"/>
      <c r="DC837" s="26">
        <v>0.13</v>
      </c>
      <c r="DD837" s="26">
        <v>4.4400000000000004</v>
      </c>
      <c r="DE837" s="26" t="s">
        <v>684</v>
      </c>
      <c r="FR837" s="26" t="s">
        <v>824</v>
      </c>
      <c r="FT837" s="26">
        <v>41</v>
      </c>
    </row>
    <row r="838" spans="1:176" s="26" customFormat="1" x14ac:dyDescent="0.25">
      <c r="A838" s="26">
        <v>41</v>
      </c>
      <c r="B838" s="26" t="s">
        <v>680</v>
      </c>
      <c r="C838" s="26" t="s">
        <v>681</v>
      </c>
      <c r="D838" s="26">
        <v>1994</v>
      </c>
      <c r="E838" s="26">
        <v>1988</v>
      </c>
      <c r="F838" s="26" t="s">
        <v>498</v>
      </c>
      <c r="G838" s="26" t="s">
        <v>683</v>
      </c>
      <c r="H838" s="26">
        <v>38.03</v>
      </c>
      <c r="I838" s="26">
        <v>-84.51</v>
      </c>
      <c r="J838" s="26">
        <v>299.60000000000002</v>
      </c>
      <c r="P838" s="52">
        <v>4</v>
      </c>
      <c r="Q838" s="52"/>
      <c r="R838" s="52" t="s">
        <v>606</v>
      </c>
      <c r="S838" s="52" t="s">
        <v>1555</v>
      </c>
      <c r="T838" s="52" t="s">
        <v>1555</v>
      </c>
      <c r="U838" s="52" t="s">
        <v>1555</v>
      </c>
      <c r="V838" s="52" t="s">
        <v>1903</v>
      </c>
      <c r="W838" s="26">
        <v>1.05</v>
      </c>
      <c r="X838" s="26">
        <v>7.3</v>
      </c>
      <c r="Y838" s="26">
        <v>70.2</v>
      </c>
      <c r="Z838" s="26" t="s">
        <v>531</v>
      </c>
      <c r="AA838" s="26">
        <v>5.48</v>
      </c>
      <c r="AB838" s="26">
        <v>1.1599999999999999</v>
      </c>
      <c r="AD838" s="26" t="s">
        <v>1499</v>
      </c>
      <c r="AE838" s="26" t="s">
        <v>159</v>
      </c>
      <c r="AF838" s="152" t="s">
        <v>159</v>
      </c>
      <c r="AG838" s="26" t="s">
        <v>160</v>
      </c>
      <c r="AH838" s="154" t="s">
        <v>160</v>
      </c>
      <c r="AR838" s="26" t="s">
        <v>147</v>
      </c>
      <c r="AS838" s="26">
        <v>2</v>
      </c>
      <c r="AT838" s="26">
        <v>2</v>
      </c>
      <c r="AU838" s="26" t="s">
        <v>169</v>
      </c>
      <c r="AY838" s="63"/>
      <c r="DC838" s="26">
        <v>72.64</v>
      </c>
      <c r="DD838" s="26">
        <v>95.51</v>
      </c>
      <c r="DE838" s="26" t="s">
        <v>684</v>
      </c>
      <c r="FR838" s="26" t="s">
        <v>824</v>
      </c>
      <c r="FT838" s="26">
        <v>41</v>
      </c>
    </row>
    <row r="839" spans="1:176" s="26" customFormat="1" x14ac:dyDescent="0.25">
      <c r="A839" s="26">
        <v>41</v>
      </c>
      <c r="B839" s="26" t="s">
        <v>680</v>
      </c>
      <c r="C839" s="26" t="s">
        <v>681</v>
      </c>
      <c r="D839" s="26">
        <v>1994</v>
      </c>
      <c r="E839" s="26">
        <v>1988</v>
      </c>
      <c r="F839" s="26" t="s">
        <v>498</v>
      </c>
      <c r="G839" s="26" t="s">
        <v>683</v>
      </c>
      <c r="H839" s="26">
        <v>38.03</v>
      </c>
      <c r="I839" s="26">
        <v>-84.51</v>
      </c>
      <c r="J839" s="26">
        <v>299.60000000000002</v>
      </c>
      <c r="P839" s="52">
        <v>4</v>
      </c>
      <c r="Q839" s="52"/>
      <c r="R839" s="52" t="s">
        <v>688</v>
      </c>
      <c r="S839" s="52" t="s">
        <v>1555</v>
      </c>
      <c r="T839" s="52" t="s">
        <v>1555</v>
      </c>
      <c r="U839" s="52" t="s">
        <v>1555</v>
      </c>
      <c r="V839" s="52" t="s">
        <v>1903</v>
      </c>
      <c r="W839" s="26">
        <v>1.05</v>
      </c>
      <c r="X839" s="26">
        <v>7.3</v>
      </c>
      <c r="Y839" s="26">
        <v>70.2</v>
      </c>
      <c r="Z839" s="26" t="s">
        <v>531</v>
      </c>
      <c r="AA839" s="26">
        <v>5.48</v>
      </c>
      <c r="AB839" s="26">
        <v>1.1599999999999999</v>
      </c>
      <c r="AD839" s="26" t="s">
        <v>1499</v>
      </c>
      <c r="AE839" s="26" t="s">
        <v>159</v>
      </c>
      <c r="AF839" s="152" t="s">
        <v>159</v>
      </c>
      <c r="AG839" s="26" t="s">
        <v>160</v>
      </c>
      <c r="AH839" s="154" t="s">
        <v>160</v>
      </c>
      <c r="AR839" s="26" t="s">
        <v>147</v>
      </c>
      <c r="AS839" s="26">
        <v>2</v>
      </c>
      <c r="AT839" s="26">
        <v>2</v>
      </c>
      <c r="AU839" s="26" t="s">
        <v>169</v>
      </c>
      <c r="AY839" s="63"/>
      <c r="DC839" s="26">
        <v>28.22</v>
      </c>
      <c r="DD839" s="26">
        <v>32.53</v>
      </c>
      <c r="DE839" s="26" t="s">
        <v>684</v>
      </c>
      <c r="FR839" s="26" t="s">
        <v>824</v>
      </c>
      <c r="FT839" s="26">
        <v>41</v>
      </c>
    </row>
    <row r="840" spans="1:176" s="26" customFormat="1" x14ac:dyDescent="0.25">
      <c r="A840" s="26">
        <v>41</v>
      </c>
      <c r="B840" s="26" t="s">
        <v>680</v>
      </c>
      <c r="C840" s="26" t="s">
        <v>681</v>
      </c>
      <c r="D840" s="26">
        <v>1994</v>
      </c>
      <c r="E840" s="26">
        <v>1988</v>
      </c>
      <c r="F840" s="26" t="s">
        <v>498</v>
      </c>
      <c r="G840" s="26" t="s">
        <v>683</v>
      </c>
      <c r="H840" s="26">
        <v>38.03</v>
      </c>
      <c r="I840" s="26">
        <v>-84.51</v>
      </c>
      <c r="J840" s="26">
        <v>299.60000000000002</v>
      </c>
      <c r="P840" s="52">
        <v>4</v>
      </c>
      <c r="Q840" s="52"/>
      <c r="R840" s="52" t="s">
        <v>688</v>
      </c>
      <c r="S840" s="52" t="s">
        <v>1555</v>
      </c>
      <c r="T840" s="52" t="s">
        <v>1555</v>
      </c>
      <c r="U840" s="52" t="s">
        <v>1555</v>
      </c>
      <c r="V840" s="52" t="s">
        <v>1903</v>
      </c>
      <c r="W840" s="26">
        <v>1.05</v>
      </c>
      <c r="X840" s="26">
        <v>7.3</v>
      </c>
      <c r="Y840" s="26">
        <v>70.2</v>
      </c>
      <c r="Z840" s="26" t="s">
        <v>531</v>
      </c>
      <c r="AA840" s="26">
        <v>5.48</v>
      </c>
      <c r="AB840" s="26">
        <v>1.1599999999999999</v>
      </c>
      <c r="AD840" s="26" t="s">
        <v>1499</v>
      </c>
      <c r="AE840" s="26" t="s">
        <v>159</v>
      </c>
      <c r="AF840" s="152" t="s">
        <v>159</v>
      </c>
      <c r="AG840" s="26" t="s">
        <v>160</v>
      </c>
      <c r="AH840" s="154" t="s">
        <v>160</v>
      </c>
      <c r="AR840" s="26" t="s">
        <v>147</v>
      </c>
      <c r="AS840" s="26">
        <v>2</v>
      </c>
      <c r="AT840" s="26">
        <v>2</v>
      </c>
      <c r="AU840" s="26" t="s">
        <v>169</v>
      </c>
      <c r="AY840" s="63"/>
      <c r="DC840" s="26">
        <v>73.099999999999994</v>
      </c>
      <c r="DD840" s="26">
        <v>69.22</v>
      </c>
      <c r="DE840" s="26" t="s">
        <v>684</v>
      </c>
      <c r="FR840" s="26" t="s">
        <v>824</v>
      </c>
      <c r="FT840" s="26">
        <v>41</v>
      </c>
    </row>
    <row r="841" spans="1:176" s="26" customFormat="1" x14ac:dyDescent="0.25">
      <c r="A841" s="26">
        <v>41</v>
      </c>
      <c r="B841" s="26" t="s">
        <v>680</v>
      </c>
      <c r="C841" s="26" t="s">
        <v>681</v>
      </c>
      <c r="D841" s="26">
        <v>1994</v>
      </c>
      <c r="E841" s="26">
        <v>1988</v>
      </c>
      <c r="F841" s="26" t="s">
        <v>498</v>
      </c>
      <c r="G841" s="26" t="s">
        <v>683</v>
      </c>
      <c r="H841" s="26">
        <v>38.03</v>
      </c>
      <c r="I841" s="26">
        <v>-84.51</v>
      </c>
      <c r="J841" s="26">
        <v>299.60000000000002</v>
      </c>
      <c r="P841" s="52">
        <v>4</v>
      </c>
      <c r="Q841" s="52"/>
      <c r="R841" s="52" t="s">
        <v>688</v>
      </c>
      <c r="S841" s="52" t="s">
        <v>1555</v>
      </c>
      <c r="T841" s="52" t="s">
        <v>1555</v>
      </c>
      <c r="U841" s="52" t="s">
        <v>1555</v>
      </c>
      <c r="V841" s="52" t="s">
        <v>1903</v>
      </c>
      <c r="W841" s="26">
        <v>1.05</v>
      </c>
      <c r="X841" s="26">
        <v>7.3</v>
      </c>
      <c r="Y841" s="26">
        <v>70.2</v>
      </c>
      <c r="Z841" s="26" t="s">
        <v>531</v>
      </c>
      <c r="AA841" s="26">
        <v>5.48</v>
      </c>
      <c r="AB841" s="26">
        <v>1.1599999999999999</v>
      </c>
      <c r="AD841" s="26" t="s">
        <v>1499</v>
      </c>
      <c r="AE841" s="26" t="s">
        <v>159</v>
      </c>
      <c r="AF841" s="152" t="s">
        <v>159</v>
      </c>
      <c r="AG841" s="26" t="s">
        <v>160</v>
      </c>
      <c r="AH841" s="154" t="s">
        <v>160</v>
      </c>
      <c r="AR841" s="26" t="s">
        <v>147</v>
      </c>
      <c r="AS841" s="26">
        <v>2</v>
      </c>
      <c r="AT841" s="26">
        <v>2</v>
      </c>
      <c r="AU841" s="26" t="s">
        <v>169</v>
      </c>
      <c r="AY841" s="63"/>
      <c r="DC841" s="26">
        <v>92.54</v>
      </c>
      <c r="DD841" s="26">
        <v>83.7</v>
      </c>
      <c r="DE841" s="26" t="s">
        <v>684</v>
      </c>
      <c r="FR841" s="26" t="s">
        <v>824</v>
      </c>
      <c r="FT841" s="26">
        <v>41</v>
      </c>
    </row>
    <row r="842" spans="1:176" s="35" customFormat="1" x14ac:dyDescent="0.25">
      <c r="A842" s="35">
        <v>41</v>
      </c>
      <c r="B842" s="35" t="s">
        <v>680</v>
      </c>
      <c r="C842" s="35" t="s">
        <v>681</v>
      </c>
      <c r="D842" s="35">
        <v>1994</v>
      </c>
      <c r="E842" s="35">
        <v>1989</v>
      </c>
      <c r="F842" s="35" t="s">
        <v>498</v>
      </c>
      <c r="G842" s="35" t="s">
        <v>683</v>
      </c>
      <c r="H842" s="35">
        <v>38.03</v>
      </c>
      <c r="I842" s="35">
        <v>-84.51</v>
      </c>
      <c r="J842" s="35">
        <v>299.60000000000002</v>
      </c>
      <c r="P842" s="54">
        <v>5</v>
      </c>
      <c r="Q842" s="54"/>
      <c r="R842" s="54" t="s">
        <v>691</v>
      </c>
      <c r="S842" s="54" t="s">
        <v>1555</v>
      </c>
      <c r="T842" s="54" t="s">
        <v>1555</v>
      </c>
      <c r="U842" s="54" t="s">
        <v>1555</v>
      </c>
      <c r="V842" s="54" t="s">
        <v>1903</v>
      </c>
      <c r="W842" s="35">
        <v>1.05</v>
      </c>
      <c r="X842" s="35">
        <v>7.3</v>
      </c>
      <c r="Y842" s="35">
        <v>70.2</v>
      </c>
      <c r="Z842" s="35" t="s">
        <v>531</v>
      </c>
      <c r="AA842" s="35">
        <v>5.48</v>
      </c>
      <c r="AB842" s="35">
        <v>1.1599999999999999</v>
      </c>
      <c r="AD842" s="35" t="s">
        <v>1499</v>
      </c>
      <c r="AE842" s="35" t="s">
        <v>159</v>
      </c>
      <c r="AF842" s="152" t="s">
        <v>159</v>
      </c>
      <c r="AG842" s="35" t="s">
        <v>160</v>
      </c>
      <c r="AH842" s="154" t="s">
        <v>160</v>
      </c>
      <c r="AR842" s="35" t="s">
        <v>147</v>
      </c>
      <c r="AS842" s="35">
        <v>2</v>
      </c>
      <c r="AT842" s="35">
        <v>2</v>
      </c>
      <c r="AU842" s="35" t="s">
        <v>169</v>
      </c>
      <c r="AY842" s="63"/>
      <c r="DC842" s="35">
        <v>91.05</v>
      </c>
      <c r="DD842" s="35">
        <v>89.54</v>
      </c>
      <c r="DE842" s="35" t="s">
        <v>684</v>
      </c>
      <c r="FR842" s="35" t="s">
        <v>824</v>
      </c>
      <c r="FT842" s="35">
        <v>41</v>
      </c>
    </row>
    <row r="843" spans="1:176" s="35" customFormat="1" x14ac:dyDescent="0.25">
      <c r="A843" s="35">
        <v>41</v>
      </c>
      <c r="B843" s="35" t="s">
        <v>680</v>
      </c>
      <c r="C843" s="35" t="s">
        <v>681</v>
      </c>
      <c r="D843" s="35">
        <v>1994</v>
      </c>
      <c r="E843" s="35">
        <v>1989</v>
      </c>
      <c r="F843" s="35" t="s">
        <v>498</v>
      </c>
      <c r="G843" s="35" t="s">
        <v>683</v>
      </c>
      <c r="H843" s="35">
        <v>38.03</v>
      </c>
      <c r="I843" s="35">
        <v>-84.51</v>
      </c>
      <c r="J843" s="35">
        <v>299.60000000000002</v>
      </c>
      <c r="P843" s="54">
        <v>5</v>
      </c>
      <c r="Q843" s="54"/>
      <c r="R843" s="54" t="s">
        <v>692</v>
      </c>
      <c r="S843" s="54" t="s">
        <v>1555</v>
      </c>
      <c r="T843" s="54" t="s">
        <v>1555</v>
      </c>
      <c r="U843" s="54" t="s">
        <v>1555</v>
      </c>
      <c r="V843" s="54" t="s">
        <v>1903</v>
      </c>
      <c r="W843" s="35">
        <v>1.05</v>
      </c>
      <c r="X843" s="35">
        <v>7.3</v>
      </c>
      <c r="Y843" s="35">
        <v>70.2</v>
      </c>
      <c r="Z843" s="35" t="s">
        <v>531</v>
      </c>
      <c r="AA843" s="35">
        <v>5.48</v>
      </c>
      <c r="AB843" s="35">
        <v>1.1599999999999999</v>
      </c>
      <c r="AD843" s="35" t="s">
        <v>1499</v>
      </c>
      <c r="AE843" s="35" t="s">
        <v>159</v>
      </c>
      <c r="AF843" s="152" t="s">
        <v>159</v>
      </c>
      <c r="AG843" s="35" t="s">
        <v>160</v>
      </c>
      <c r="AH843" s="154" t="s">
        <v>160</v>
      </c>
      <c r="AR843" s="35" t="s">
        <v>147</v>
      </c>
      <c r="AS843" s="35">
        <v>2</v>
      </c>
      <c r="AT843" s="35">
        <v>2</v>
      </c>
      <c r="AU843" s="35" t="s">
        <v>169</v>
      </c>
      <c r="AY843" s="63"/>
      <c r="DC843" s="35">
        <v>79.84</v>
      </c>
      <c r="DD843" s="35">
        <v>81.349999999999994</v>
      </c>
      <c r="DE843" s="35" t="s">
        <v>684</v>
      </c>
      <c r="FR843" s="35" t="s">
        <v>824</v>
      </c>
      <c r="FT843" s="35">
        <v>41</v>
      </c>
    </row>
    <row r="844" spans="1:176" s="35" customFormat="1" x14ac:dyDescent="0.25">
      <c r="A844" s="35">
        <v>41</v>
      </c>
      <c r="B844" s="35" t="s">
        <v>680</v>
      </c>
      <c r="C844" s="35" t="s">
        <v>681</v>
      </c>
      <c r="D844" s="35">
        <v>1994</v>
      </c>
      <c r="E844" s="35">
        <v>1989</v>
      </c>
      <c r="F844" s="35" t="s">
        <v>498</v>
      </c>
      <c r="G844" s="35" t="s">
        <v>683</v>
      </c>
      <c r="H844" s="35">
        <v>38.03</v>
      </c>
      <c r="I844" s="35">
        <v>-84.51</v>
      </c>
      <c r="J844" s="35">
        <v>299.60000000000002</v>
      </c>
      <c r="P844" s="54">
        <v>5</v>
      </c>
      <c r="Q844" s="54"/>
      <c r="R844" s="54" t="s">
        <v>250</v>
      </c>
      <c r="S844" s="54" t="s">
        <v>1555</v>
      </c>
      <c r="T844" s="54" t="s">
        <v>1555</v>
      </c>
      <c r="U844" s="54" t="s">
        <v>1555</v>
      </c>
      <c r="V844" s="54" t="s">
        <v>1903</v>
      </c>
      <c r="W844" s="35">
        <v>1.05</v>
      </c>
      <c r="X844" s="35">
        <v>7.3</v>
      </c>
      <c r="Y844" s="35">
        <v>70.2</v>
      </c>
      <c r="Z844" s="35" t="s">
        <v>531</v>
      </c>
      <c r="AA844" s="35">
        <v>5.48</v>
      </c>
      <c r="AB844" s="35">
        <v>1.1599999999999999</v>
      </c>
      <c r="AD844" s="35" t="s">
        <v>1499</v>
      </c>
      <c r="AE844" s="35" t="s">
        <v>159</v>
      </c>
      <c r="AF844" s="152" t="s">
        <v>159</v>
      </c>
      <c r="AG844" s="35" t="s">
        <v>160</v>
      </c>
      <c r="AH844" s="154" t="s">
        <v>160</v>
      </c>
      <c r="AR844" s="35" t="s">
        <v>147</v>
      </c>
      <c r="AS844" s="35">
        <v>2</v>
      </c>
      <c r="AT844" s="35">
        <v>2</v>
      </c>
      <c r="AU844" s="35" t="s">
        <v>169</v>
      </c>
      <c r="AY844" s="63"/>
      <c r="DC844" s="35">
        <v>100</v>
      </c>
      <c r="DD844" s="35">
        <v>97</v>
      </c>
      <c r="DE844" s="35" t="s">
        <v>684</v>
      </c>
      <c r="FR844" s="35" t="s">
        <v>824</v>
      </c>
      <c r="FT844" s="35">
        <v>41</v>
      </c>
    </row>
    <row r="845" spans="1:176" s="35" customFormat="1" x14ac:dyDescent="0.25">
      <c r="A845" s="35">
        <v>41</v>
      </c>
      <c r="B845" s="35" t="s">
        <v>680</v>
      </c>
      <c r="C845" s="35" t="s">
        <v>681</v>
      </c>
      <c r="D845" s="35">
        <v>1994</v>
      </c>
      <c r="E845" s="35">
        <v>1989</v>
      </c>
      <c r="F845" s="35" t="s">
        <v>498</v>
      </c>
      <c r="G845" s="35" t="s">
        <v>683</v>
      </c>
      <c r="H845" s="35">
        <v>38.03</v>
      </c>
      <c r="I845" s="35">
        <v>-84.51</v>
      </c>
      <c r="J845" s="35">
        <v>299.60000000000002</v>
      </c>
      <c r="P845" s="54">
        <v>5</v>
      </c>
      <c r="Q845" s="54"/>
      <c r="R845" s="54" t="s">
        <v>689</v>
      </c>
      <c r="S845" s="54" t="s">
        <v>1555</v>
      </c>
      <c r="T845" s="54" t="s">
        <v>1555</v>
      </c>
      <c r="U845" s="54" t="s">
        <v>1555</v>
      </c>
      <c r="V845" s="54" t="s">
        <v>1903</v>
      </c>
      <c r="W845" s="35">
        <v>1.05</v>
      </c>
      <c r="X845" s="35">
        <v>7.3</v>
      </c>
      <c r="Y845" s="35">
        <v>70.2</v>
      </c>
      <c r="Z845" s="35" t="s">
        <v>531</v>
      </c>
      <c r="AA845" s="35">
        <v>5.48</v>
      </c>
      <c r="AB845" s="35">
        <v>1.1599999999999999</v>
      </c>
      <c r="AD845" s="35" t="s">
        <v>1499</v>
      </c>
      <c r="AE845" s="35" t="s">
        <v>159</v>
      </c>
      <c r="AF845" s="152" t="s">
        <v>159</v>
      </c>
      <c r="AG845" s="35" t="s">
        <v>160</v>
      </c>
      <c r="AH845" s="154" t="s">
        <v>160</v>
      </c>
      <c r="AR845" s="35" t="s">
        <v>147</v>
      </c>
      <c r="AS845" s="35">
        <v>2</v>
      </c>
      <c r="AT845" s="35">
        <v>2</v>
      </c>
      <c r="AU845" s="35" t="s">
        <v>169</v>
      </c>
      <c r="AY845" s="63"/>
      <c r="DC845" s="35">
        <v>91.73</v>
      </c>
      <c r="DD845" s="35">
        <v>89</v>
      </c>
      <c r="DE845" s="35" t="s">
        <v>684</v>
      </c>
      <c r="FR845" s="35" t="s">
        <v>824</v>
      </c>
      <c r="FT845" s="35">
        <v>41</v>
      </c>
    </row>
    <row r="846" spans="1:176" s="35" customFormat="1" x14ac:dyDescent="0.25">
      <c r="A846" s="35">
        <v>41</v>
      </c>
      <c r="B846" s="35" t="s">
        <v>680</v>
      </c>
      <c r="C846" s="35" t="s">
        <v>681</v>
      </c>
      <c r="D846" s="35">
        <v>1994</v>
      </c>
      <c r="E846" s="35">
        <v>1989</v>
      </c>
      <c r="F846" s="35" t="s">
        <v>498</v>
      </c>
      <c r="G846" s="35" t="s">
        <v>683</v>
      </c>
      <c r="H846" s="35">
        <v>38.03</v>
      </c>
      <c r="I846" s="35">
        <v>-84.51</v>
      </c>
      <c r="J846" s="35">
        <v>299.60000000000002</v>
      </c>
      <c r="P846" s="54">
        <v>5</v>
      </c>
      <c r="Q846" s="54"/>
      <c r="R846" s="54" t="s">
        <v>239</v>
      </c>
      <c r="S846" s="54" t="s">
        <v>1555</v>
      </c>
      <c r="T846" s="54" t="s">
        <v>1555</v>
      </c>
      <c r="U846" s="54" t="s">
        <v>1555</v>
      </c>
      <c r="V846" s="54" t="s">
        <v>1903</v>
      </c>
      <c r="W846" s="35">
        <v>1.05</v>
      </c>
      <c r="X846" s="35">
        <v>7.3</v>
      </c>
      <c r="Y846" s="35">
        <v>70.2</v>
      </c>
      <c r="Z846" s="35" t="s">
        <v>531</v>
      </c>
      <c r="AA846" s="35">
        <v>5.48</v>
      </c>
      <c r="AB846" s="35">
        <v>1.1599999999999999</v>
      </c>
      <c r="AD846" s="35" t="s">
        <v>1499</v>
      </c>
      <c r="AE846" s="35" t="s">
        <v>159</v>
      </c>
      <c r="AF846" s="152" t="s">
        <v>159</v>
      </c>
      <c r="AG846" s="35" t="s">
        <v>160</v>
      </c>
      <c r="AH846" s="154" t="s">
        <v>160</v>
      </c>
      <c r="AR846" s="35" t="s">
        <v>147</v>
      </c>
      <c r="AS846" s="35">
        <v>2</v>
      </c>
      <c r="AT846" s="35">
        <v>2</v>
      </c>
      <c r="AU846" s="35" t="s">
        <v>169</v>
      </c>
      <c r="AY846" s="63"/>
      <c r="DC846" s="35">
        <v>73.400000000000006</v>
      </c>
      <c r="DD846" s="35">
        <v>76.209999999999994</v>
      </c>
      <c r="DE846" s="35" t="s">
        <v>684</v>
      </c>
      <c r="FR846" s="35" t="s">
        <v>824</v>
      </c>
      <c r="FT846" s="35">
        <v>41</v>
      </c>
    </row>
    <row r="847" spans="1:176" s="35" customFormat="1" x14ac:dyDescent="0.25">
      <c r="A847" s="35">
        <v>41</v>
      </c>
      <c r="B847" s="35" t="s">
        <v>680</v>
      </c>
      <c r="C847" s="35" t="s">
        <v>681</v>
      </c>
      <c r="D847" s="35">
        <v>1994</v>
      </c>
      <c r="E847" s="35">
        <v>1989</v>
      </c>
      <c r="F847" s="35" t="s">
        <v>498</v>
      </c>
      <c r="G847" s="35" t="s">
        <v>683</v>
      </c>
      <c r="H847" s="35">
        <v>38.03</v>
      </c>
      <c r="I847" s="35">
        <v>-84.51</v>
      </c>
      <c r="J847" s="35">
        <v>299.60000000000002</v>
      </c>
      <c r="P847" s="54">
        <v>5</v>
      </c>
      <c r="Q847" s="54"/>
      <c r="R847" s="54" t="s">
        <v>685</v>
      </c>
      <c r="S847" s="54" t="s">
        <v>1555</v>
      </c>
      <c r="T847" s="54" t="s">
        <v>1555</v>
      </c>
      <c r="U847" s="54" t="s">
        <v>1555</v>
      </c>
      <c r="V847" s="54" t="s">
        <v>1903</v>
      </c>
      <c r="W847" s="35">
        <v>1.05</v>
      </c>
      <c r="X847" s="35">
        <v>7.3</v>
      </c>
      <c r="Y847" s="35">
        <v>70.2</v>
      </c>
      <c r="Z847" s="35" t="s">
        <v>531</v>
      </c>
      <c r="AA847" s="35">
        <v>5.48</v>
      </c>
      <c r="AB847" s="35">
        <v>1.1599999999999999</v>
      </c>
      <c r="AD847" s="35" t="s">
        <v>1499</v>
      </c>
      <c r="AE847" s="35" t="s">
        <v>159</v>
      </c>
      <c r="AF847" s="152" t="s">
        <v>159</v>
      </c>
      <c r="AG847" s="35" t="s">
        <v>160</v>
      </c>
      <c r="AH847" s="154" t="s">
        <v>160</v>
      </c>
      <c r="AR847" s="35" t="s">
        <v>147</v>
      </c>
      <c r="AS847" s="35">
        <v>2</v>
      </c>
      <c r="AT847" s="35">
        <v>2</v>
      </c>
      <c r="AU847" s="35" t="s">
        <v>169</v>
      </c>
      <c r="AY847" s="63"/>
      <c r="DC847" s="35">
        <v>59.4</v>
      </c>
      <c r="DD847" s="35">
        <v>50.55</v>
      </c>
      <c r="DE847" s="35" t="s">
        <v>684</v>
      </c>
      <c r="FR847" s="35" t="s">
        <v>824</v>
      </c>
      <c r="FT847" s="35">
        <v>41</v>
      </c>
    </row>
    <row r="848" spans="1:176" s="35" customFormat="1" x14ac:dyDescent="0.25">
      <c r="A848" s="35">
        <v>41</v>
      </c>
      <c r="B848" s="35" t="s">
        <v>680</v>
      </c>
      <c r="C848" s="35" t="s">
        <v>681</v>
      </c>
      <c r="D848" s="35">
        <v>1994</v>
      </c>
      <c r="E848" s="35">
        <v>1989</v>
      </c>
      <c r="F848" s="35" t="s">
        <v>498</v>
      </c>
      <c r="G848" s="35" t="s">
        <v>683</v>
      </c>
      <c r="H848" s="35">
        <v>38.03</v>
      </c>
      <c r="I848" s="35">
        <v>-84.51</v>
      </c>
      <c r="J848" s="35">
        <v>299.60000000000002</v>
      </c>
      <c r="P848" s="54">
        <v>5</v>
      </c>
      <c r="Q848" s="54"/>
      <c r="R848" s="54" t="s">
        <v>264</v>
      </c>
      <c r="S848" s="54" t="s">
        <v>1555</v>
      </c>
      <c r="T848" s="54" t="s">
        <v>1555</v>
      </c>
      <c r="U848" s="54" t="s">
        <v>1555</v>
      </c>
      <c r="V848" s="54" t="s">
        <v>1903</v>
      </c>
      <c r="W848" s="35">
        <v>1.05</v>
      </c>
      <c r="X848" s="35">
        <v>7.3</v>
      </c>
      <c r="Y848" s="35">
        <v>70.2</v>
      </c>
      <c r="Z848" s="35" t="s">
        <v>531</v>
      </c>
      <c r="AA848" s="35">
        <v>5.48</v>
      </c>
      <c r="AB848" s="35">
        <v>1.1599999999999999</v>
      </c>
      <c r="AD848" s="35" t="s">
        <v>1499</v>
      </c>
      <c r="AE848" s="35" t="s">
        <v>159</v>
      </c>
      <c r="AF848" s="152" t="s">
        <v>159</v>
      </c>
      <c r="AG848" s="35" t="s">
        <v>160</v>
      </c>
      <c r="AH848" s="154" t="s">
        <v>160</v>
      </c>
      <c r="AR848" s="35" t="s">
        <v>147</v>
      </c>
      <c r="AS848" s="35">
        <v>2</v>
      </c>
      <c r="AT848" s="35">
        <v>2</v>
      </c>
      <c r="AU848" s="35" t="s">
        <v>169</v>
      </c>
      <c r="AY848" s="63"/>
      <c r="DC848" s="35">
        <v>63.73</v>
      </c>
      <c r="DD848" s="35">
        <v>46</v>
      </c>
      <c r="DE848" s="35" t="s">
        <v>684</v>
      </c>
      <c r="FR848" s="35" t="s">
        <v>824</v>
      </c>
      <c r="FT848" s="35">
        <v>41</v>
      </c>
    </row>
    <row r="849" spans="1:176" s="26" customFormat="1" x14ac:dyDescent="0.25">
      <c r="A849" s="26">
        <v>41</v>
      </c>
      <c r="B849" s="26" t="s">
        <v>680</v>
      </c>
      <c r="C849" s="26" t="s">
        <v>681</v>
      </c>
      <c r="D849" s="26">
        <v>1994</v>
      </c>
      <c r="E849" s="26">
        <v>1986</v>
      </c>
      <c r="F849" s="26" t="s">
        <v>498</v>
      </c>
      <c r="G849" s="26" t="s">
        <v>683</v>
      </c>
      <c r="H849" s="26">
        <v>38.03</v>
      </c>
      <c r="I849" s="26">
        <v>-84.51</v>
      </c>
      <c r="J849" s="26">
        <v>299.60000000000002</v>
      </c>
      <c r="P849" s="52">
        <v>2</v>
      </c>
      <c r="Q849" s="52"/>
      <c r="R849" s="52" t="s">
        <v>264</v>
      </c>
      <c r="S849" s="52" t="s">
        <v>1555</v>
      </c>
      <c r="T849" s="52" t="s">
        <v>1555</v>
      </c>
      <c r="U849" s="52" t="s">
        <v>1555</v>
      </c>
      <c r="V849" s="52" t="s">
        <v>1903</v>
      </c>
      <c r="W849" s="26">
        <v>1.05</v>
      </c>
      <c r="X849" s="26">
        <v>7.3</v>
      </c>
      <c r="Y849" s="26">
        <v>70.2</v>
      </c>
      <c r="Z849" s="26" t="s">
        <v>531</v>
      </c>
      <c r="AA849" s="26">
        <v>5.48</v>
      </c>
      <c r="AB849" s="26">
        <v>1.1599999999999999</v>
      </c>
      <c r="AD849" s="26" t="s">
        <v>1499</v>
      </c>
      <c r="AE849" s="26" t="s">
        <v>281</v>
      </c>
      <c r="AF849" s="152" t="s">
        <v>666</v>
      </c>
      <c r="AG849" s="26" t="s">
        <v>160</v>
      </c>
      <c r="AH849" s="154" t="s">
        <v>160</v>
      </c>
      <c r="AR849" s="26" t="s">
        <v>147</v>
      </c>
      <c r="AS849" s="26">
        <v>2</v>
      </c>
      <c r="AT849" s="26">
        <v>2</v>
      </c>
      <c r="AU849" s="26" t="s">
        <v>169</v>
      </c>
      <c r="AY849" s="63"/>
      <c r="DC849" s="26">
        <v>0.4</v>
      </c>
      <c r="DD849" s="26">
        <v>0.51</v>
      </c>
      <c r="DE849" s="26" t="s">
        <v>1867</v>
      </c>
      <c r="FR849" s="26" t="s">
        <v>824</v>
      </c>
      <c r="FT849" s="26">
        <v>41</v>
      </c>
    </row>
    <row r="850" spans="1:176" s="26" customFormat="1" x14ac:dyDescent="0.25">
      <c r="A850" s="26">
        <v>41</v>
      </c>
      <c r="B850" s="26" t="s">
        <v>680</v>
      </c>
      <c r="C850" s="26" t="s">
        <v>681</v>
      </c>
      <c r="D850" s="26">
        <v>1994</v>
      </c>
      <c r="E850" s="26">
        <v>1986</v>
      </c>
      <c r="F850" s="26" t="s">
        <v>498</v>
      </c>
      <c r="G850" s="26" t="s">
        <v>683</v>
      </c>
      <c r="H850" s="26">
        <v>38.03</v>
      </c>
      <c r="I850" s="26">
        <v>-84.51</v>
      </c>
      <c r="J850" s="26">
        <v>299.60000000000002</v>
      </c>
      <c r="P850" s="52">
        <v>2</v>
      </c>
      <c r="Q850" s="52"/>
      <c r="R850" s="52" t="s">
        <v>686</v>
      </c>
      <c r="S850" s="52" t="s">
        <v>1555</v>
      </c>
      <c r="T850" s="52" t="s">
        <v>1555</v>
      </c>
      <c r="U850" s="52" t="s">
        <v>1555</v>
      </c>
      <c r="V850" s="52" t="s">
        <v>1903</v>
      </c>
      <c r="W850" s="26">
        <v>1.05</v>
      </c>
      <c r="X850" s="26">
        <v>7.3</v>
      </c>
      <c r="Y850" s="26">
        <v>70.2</v>
      </c>
      <c r="Z850" s="26" t="s">
        <v>531</v>
      </c>
      <c r="AA850" s="26">
        <v>5.48</v>
      </c>
      <c r="AB850" s="26">
        <v>1.1599999999999999</v>
      </c>
      <c r="AD850" s="26" t="s">
        <v>1499</v>
      </c>
      <c r="AE850" s="26" t="s">
        <v>281</v>
      </c>
      <c r="AF850" s="152" t="s">
        <v>666</v>
      </c>
      <c r="AG850" s="26" t="s">
        <v>160</v>
      </c>
      <c r="AH850" s="154" t="s">
        <v>160</v>
      </c>
      <c r="AR850" s="26" t="s">
        <v>147</v>
      </c>
      <c r="AS850" s="26">
        <v>2</v>
      </c>
      <c r="AT850" s="26">
        <v>2</v>
      </c>
      <c r="AU850" s="26" t="s">
        <v>169</v>
      </c>
      <c r="AY850" s="63"/>
      <c r="DC850" s="26">
        <v>0.187</v>
      </c>
      <c r="DD850" s="26">
        <v>0.3</v>
      </c>
      <c r="DE850" s="26" t="s">
        <v>1867</v>
      </c>
      <c r="FR850" s="26" t="s">
        <v>824</v>
      </c>
      <c r="FT850" s="26">
        <v>41</v>
      </c>
    </row>
    <row r="851" spans="1:176" s="26" customFormat="1" x14ac:dyDescent="0.25">
      <c r="A851" s="26">
        <v>41</v>
      </c>
      <c r="B851" s="26" t="s">
        <v>680</v>
      </c>
      <c r="C851" s="26" t="s">
        <v>681</v>
      </c>
      <c r="D851" s="26">
        <v>1994</v>
      </c>
      <c r="E851" s="26">
        <v>1986</v>
      </c>
      <c r="F851" s="26" t="s">
        <v>498</v>
      </c>
      <c r="G851" s="26" t="s">
        <v>683</v>
      </c>
      <c r="H851" s="26">
        <v>38.03</v>
      </c>
      <c r="I851" s="26">
        <v>-84.51</v>
      </c>
      <c r="J851" s="26">
        <v>299.60000000000002</v>
      </c>
      <c r="P851" s="52">
        <v>2</v>
      </c>
      <c r="Q851" s="52"/>
      <c r="R851" s="52" t="s">
        <v>687</v>
      </c>
      <c r="S851" s="52" t="s">
        <v>1555</v>
      </c>
      <c r="T851" s="52" t="s">
        <v>1555</v>
      </c>
      <c r="U851" s="52" t="s">
        <v>1555</v>
      </c>
      <c r="V851" s="52" t="s">
        <v>1903</v>
      </c>
      <c r="W851" s="26">
        <v>1.05</v>
      </c>
      <c r="X851" s="26">
        <v>7.3</v>
      </c>
      <c r="Y851" s="26">
        <v>70.2</v>
      </c>
      <c r="Z851" s="26" t="s">
        <v>531</v>
      </c>
      <c r="AA851" s="26">
        <v>5.48</v>
      </c>
      <c r="AB851" s="26">
        <v>1.1599999999999999</v>
      </c>
      <c r="AD851" s="26" t="s">
        <v>1499</v>
      </c>
      <c r="AE851" s="26" t="s">
        <v>281</v>
      </c>
      <c r="AF851" s="152" t="s">
        <v>666</v>
      </c>
      <c r="AG851" s="26" t="s">
        <v>160</v>
      </c>
      <c r="AH851" s="154" t="s">
        <v>160</v>
      </c>
      <c r="AR851" s="26" t="s">
        <v>147</v>
      </c>
      <c r="AS851" s="26">
        <v>2</v>
      </c>
      <c r="AT851" s="26">
        <v>2</v>
      </c>
      <c r="AU851" s="26" t="s">
        <v>169</v>
      </c>
      <c r="AY851" s="63"/>
      <c r="DC851" s="26">
        <v>3.5000000000000003E-2</v>
      </c>
      <c r="DD851" s="26">
        <v>0.05</v>
      </c>
      <c r="DE851" s="26" t="s">
        <v>1867</v>
      </c>
      <c r="FR851" s="26" t="s">
        <v>824</v>
      </c>
      <c r="FT851" s="26">
        <v>41</v>
      </c>
    </row>
    <row r="852" spans="1:176" s="26" customFormat="1" x14ac:dyDescent="0.25">
      <c r="A852" s="26">
        <v>41</v>
      </c>
      <c r="B852" s="26" t="s">
        <v>680</v>
      </c>
      <c r="C852" s="26" t="s">
        <v>681</v>
      </c>
      <c r="D852" s="26">
        <v>1994</v>
      </c>
      <c r="E852" s="26">
        <v>1986</v>
      </c>
      <c r="F852" s="26" t="s">
        <v>498</v>
      </c>
      <c r="G852" s="26" t="s">
        <v>683</v>
      </c>
      <c r="H852" s="26">
        <v>38.03</v>
      </c>
      <c r="I852" s="26">
        <v>-84.51</v>
      </c>
      <c r="J852" s="26">
        <v>299.60000000000002</v>
      </c>
      <c r="P852" s="52">
        <v>2</v>
      </c>
      <c r="Q852" s="52"/>
      <c r="R852" s="52" t="s">
        <v>606</v>
      </c>
      <c r="S852" s="52" t="s">
        <v>1555</v>
      </c>
      <c r="T852" s="52" t="s">
        <v>1555</v>
      </c>
      <c r="U852" s="52" t="s">
        <v>1555</v>
      </c>
      <c r="V852" s="52" t="s">
        <v>1903</v>
      </c>
      <c r="W852" s="26">
        <v>1.05</v>
      </c>
      <c r="X852" s="26">
        <v>7.3</v>
      </c>
      <c r="Y852" s="26">
        <v>70.2</v>
      </c>
      <c r="Z852" s="26" t="s">
        <v>531</v>
      </c>
      <c r="AA852" s="26">
        <v>5.48</v>
      </c>
      <c r="AB852" s="26">
        <v>1.1599999999999999</v>
      </c>
      <c r="AD852" s="26" t="s">
        <v>1499</v>
      </c>
      <c r="AE852" s="26" t="s">
        <v>281</v>
      </c>
      <c r="AF852" s="152" t="s">
        <v>666</v>
      </c>
      <c r="AG852" s="26" t="s">
        <v>160</v>
      </c>
      <c r="AH852" s="154" t="s">
        <v>160</v>
      </c>
      <c r="AR852" s="26" t="s">
        <v>147</v>
      </c>
      <c r="AS852" s="26">
        <v>2</v>
      </c>
      <c r="AT852" s="26">
        <v>2</v>
      </c>
      <c r="AU852" s="26" t="s">
        <v>169</v>
      </c>
      <c r="AY852" s="63"/>
      <c r="DC852" s="26">
        <v>0.08</v>
      </c>
      <c r="DD852" s="26">
        <v>0.04</v>
      </c>
      <c r="DE852" s="26" t="s">
        <v>1867</v>
      </c>
      <c r="FR852" s="26" t="s">
        <v>824</v>
      </c>
      <c r="FT852" s="26">
        <v>41</v>
      </c>
    </row>
    <row r="853" spans="1:176" s="35" customFormat="1" x14ac:dyDescent="0.25">
      <c r="A853" s="35">
        <v>41</v>
      </c>
      <c r="B853" s="35" t="s">
        <v>680</v>
      </c>
      <c r="C853" s="35" t="s">
        <v>681</v>
      </c>
      <c r="D853" s="35">
        <v>1994</v>
      </c>
      <c r="E853" s="35">
        <v>1987</v>
      </c>
      <c r="F853" s="35" t="s">
        <v>498</v>
      </c>
      <c r="G853" s="35" t="s">
        <v>683</v>
      </c>
      <c r="H853" s="35">
        <v>38.03</v>
      </c>
      <c r="I853" s="35">
        <v>-84.51</v>
      </c>
      <c r="J853" s="35">
        <v>299.60000000000002</v>
      </c>
      <c r="P853" s="54">
        <v>3</v>
      </c>
      <c r="Q853" s="54"/>
      <c r="R853" s="54" t="s">
        <v>691</v>
      </c>
      <c r="S853" s="54" t="s">
        <v>1555</v>
      </c>
      <c r="T853" s="54" t="s">
        <v>1555</v>
      </c>
      <c r="U853" s="54" t="s">
        <v>1555</v>
      </c>
      <c r="V853" s="54" t="s">
        <v>1903</v>
      </c>
      <c r="W853" s="35">
        <v>1.05</v>
      </c>
      <c r="X853" s="35">
        <v>7.3</v>
      </c>
      <c r="Y853" s="35">
        <v>70.2</v>
      </c>
      <c r="Z853" s="35" t="s">
        <v>531</v>
      </c>
      <c r="AA853" s="35">
        <v>5.48</v>
      </c>
      <c r="AB853" s="35">
        <v>1.1599999999999999</v>
      </c>
      <c r="AD853" s="35" t="s">
        <v>1499</v>
      </c>
      <c r="AE853" s="35" t="s">
        <v>281</v>
      </c>
      <c r="AF853" s="152" t="s">
        <v>666</v>
      </c>
      <c r="AG853" s="35" t="s">
        <v>160</v>
      </c>
      <c r="AH853" s="154" t="s">
        <v>160</v>
      </c>
      <c r="AR853" s="35" t="s">
        <v>147</v>
      </c>
      <c r="AS853" s="35">
        <v>2</v>
      </c>
      <c r="AT853" s="35">
        <v>2</v>
      </c>
      <c r="AU853" s="35" t="s">
        <v>169</v>
      </c>
      <c r="AY853" s="63"/>
      <c r="DC853" s="35">
        <v>0.36</v>
      </c>
      <c r="DD853" s="35">
        <v>0.47699999999999998</v>
      </c>
      <c r="DE853" s="35" t="s">
        <v>1867</v>
      </c>
      <c r="FR853" s="35" t="s">
        <v>824</v>
      </c>
      <c r="FT853" s="35">
        <v>41</v>
      </c>
    </row>
    <row r="854" spans="1:176" s="35" customFormat="1" x14ac:dyDescent="0.25">
      <c r="A854" s="35">
        <v>41</v>
      </c>
      <c r="B854" s="35" t="s">
        <v>680</v>
      </c>
      <c r="C854" s="35" t="s">
        <v>681</v>
      </c>
      <c r="D854" s="35">
        <v>1994</v>
      </c>
      <c r="E854" s="35">
        <v>1987</v>
      </c>
      <c r="F854" s="35" t="s">
        <v>498</v>
      </c>
      <c r="G854" s="35" t="s">
        <v>683</v>
      </c>
      <c r="H854" s="35">
        <v>38.03</v>
      </c>
      <c r="I854" s="35">
        <v>-84.51</v>
      </c>
      <c r="J854" s="35">
        <v>299.60000000000002</v>
      </c>
      <c r="P854" s="54">
        <v>3</v>
      </c>
      <c r="Q854" s="54"/>
      <c r="R854" s="54" t="s">
        <v>692</v>
      </c>
      <c r="S854" s="54" t="s">
        <v>1555</v>
      </c>
      <c r="T854" s="54" t="s">
        <v>1555</v>
      </c>
      <c r="U854" s="54" t="s">
        <v>1555</v>
      </c>
      <c r="V854" s="54" t="s">
        <v>1903</v>
      </c>
      <c r="W854" s="35">
        <v>1.05</v>
      </c>
      <c r="X854" s="35">
        <v>7.3</v>
      </c>
      <c r="Y854" s="35">
        <v>70.2</v>
      </c>
      <c r="Z854" s="35" t="s">
        <v>531</v>
      </c>
      <c r="AA854" s="35">
        <v>5.48</v>
      </c>
      <c r="AB854" s="35">
        <v>1.1599999999999999</v>
      </c>
      <c r="AD854" s="35" t="s">
        <v>1499</v>
      </c>
      <c r="AE854" s="35" t="s">
        <v>281</v>
      </c>
      <c r="AF854" s="152" t="s">
        <v>666</v>
      </c>
      <c r="AG854" s="35" t="s">
        <v>160</v>
      </c>
      <c r="AH854" s="154" t="s">
        <v>160</v>
      </c>
      <c r="AR854" s="35" t="s">
        <v>147</v>
      </c>
      <c r="AS854" s="35">
        <v>2</v>
      </c>
      <c r="AT854" s="35">
        <v>2</v>
      </c>
      <c r="AU854" s="35" t="s">
        <v>169</v>
      </c>
      <c r="AY854" s="63"/>
      <c r="DC854" s="35">
        <v>0.32</v>
      </c>
      <c r="DD854" s="35">
        <v>0.42</v>
      </c>
      <c r="DE854" s="35" t="s">
        <v>1867</v>
      </c>
      <c r="FR854" s="35" t="s">
        <v>824</v>
      </c>
      <c r="FT854" s="35">
        <v>41</v>
      </c>
    </row>
    <row r="855" spans="1:176" s="35" customFormat="1" x14ac:dyDescent="0.25">
      <c r="A855" s="35">
        <v>41</v>
      </c>
      <c r="B855" s="35" t="s">
        <v>680</v>
      </c>
      <c r="C855" s="35" t="s">
        <v>681</v>
      </c>
      <c r="D855" s="35">
        <v>1994</v>
      </c>
      <c r="E855" s="35">
        <v>1987</v>
      </c>
      <c r="F855" s="35" t="s">
        <v>498</v>
      </c>
      <c r="G855" s="35" t="s">
        <v>683</v>
      </c>
      <c r="H855" s="35">
        <v>38.03</v>
      </c>
      <c r="I855" s="35">
        <v>-84.51</v>
      </c>
      <c r="J855" s="35">
        <v>299.60000000000002</v>
      </c>
      <c r="P855" s="54">
        <v>3</v>
      </c>
      <c r="Q855" s="54"/>
      <c r="R855" s="54" t="s">
        <v>250</v>
      </c>
      <c r="S855" s="54" t="s">
        <v>1555</v>
      </c>
      <c r="T855" s="54" t="s">
        <v>1555</v>
      </c>
      <c r="U855" s="54" t="s">
        <v>1555</v>
      </c>
      <c r="V855" s="54" t="s">
        <v>1903</v>
      </c>
      <c r="W855" s="35">
        <v>1.05</v>
      </c>
      <c r="X855" s="35">
        <v>7.3</v>
      </c>
      <c r="Y855" s="35">
        <v>70.2</v>
      </c>
      <c r="Z855" s="35" t="s">
        <v>531</v>
      </c>
      <c r="AA855" s="35">
        <v>5.48</v>
      </c>
      <c r="AB855" s="35">
        <v>1.1599999999999999</v>
      </c>
      <c r="AD855" s="35" t="s">
        <v>1499</v>
      </c>
      <c r="AE855" s="35" t="s">
        <v>281</v>
      </c>
      <c r="AF855" s="152" t="s">
        <v>666</v>
      </c>
      <c r="AG855" s="35" t="s">
        <v>160</v>
      </c>
      <c r="AH855" s="154" t="s">
        <v>160</v>
      </c>
      <c r="AR855" s="35" t="s">
        <v>147</v>
      </c>
      <c r="AS855" s="35">
        <v>2</v>
      </c>
      <c r="AT855" s="35">
        <v>2</v>
      </c>
      <c r="AU855" s="35" t="s">
        <v>169</v>
      </c>
      <c r="AY855" s="63"/>
      <c r="DC855" s="35">
        <v>0.28999999999999998</v>
      </c>
      <c r="DD855" s="35">
        <v>0.36499999999999999</v>
      </c>
      <c r="DE855" s="35" t="s">
        <v>1867</v>
      </c>
      <c r="FR855" s="35" t="s">
        <v>824</v>
      </c>
      <c r="FT855" s="35">
        <v>41</v>
      </c>
    </row>
    <row r="856" spans="1:176" s="35" customFormat="1" x14ac:dyDescent="0.25">
      <c r="A856" s="35">
        <v>41</v>
      </c>
      <c r="B856" s="35" t="s">
        <v>680</v>
      </c>
      <c r="C856" s="35" t="s">
        <v>681</v>
      </c>
      <c r="D856" s="35">
        <v>1994</v>
      </c>
      <c r="E856" s="35">
        <v>1987</v>
      </c>
      <c r="F856" s="35" t="s">
        <v>498</v>
      </c>
      <c r="G856" s="35" t="s">
        <v>683</v>
      </c>
      <c r="H856" s="35">
        <v>38.03</v>
      </c>
      <c r="I856" s="35">
        <v>-84.51</v>
      </c>
      <c r="J856" s="35">
        <v>299.60000000000002</v>
      </c>
      <c r="P856" s="54">
        <v>3</v>
      </c>
      <c r="Q856" s="54"/>
      <c r="R856" s="54" t="s">
        <v>689</v>
      </c>
      <c r="S856" s="54" t="s">
        <v>1555</v>
      </c>
      <c r="T856" s="54" t="s">
        <v>1555</v>
      </c>
      <c r="U856" s="54" t="s">
        <v>1555</v>
      </c>
      <c r="V856" s="54" t="s">
        <v>1903</v>
      </c>
      <c r="W856" s="35">
        <v>1.05</v>
      </c>
      <c r="X856" s="35">
        <v>7.3</v>
      </c>
      <c r="Y856" s="35">
        <v>70.2</v>
      </c>
      <c r="Z856" s="35" t="s">
        <v>531</v>
      </c>
      <c r="AA856" s="35">
        <v>5.48</v>
      </c>
      <c r="AB856" s="35">
        <v>1.1599999999999999</v>
      </c>
      <c r="AD856" s="35" t="s">
        <v>1499</v>
      </c>
      <c r="AE856" s="35" t="s">
        <v>281</v>
      </c>
      <c r="AF856" s="152" t="s">
        <v>666</v>
      </c>
      <c r="AG856" s="35" t="s">
        <v>160</v>
      </c>
      <c r="AH856" s="154" t="s">
        <v>160</v>
      </c>
      <c r="AR856" s="35" t="s">
        <v>147</v>
      </c>
      <c r="AS856" s="35">
        <v>2</v>
      </c>
      <c r="AT856" s="35">
        <v>2</v>
      </c>
      <c r="AU856" s="35" t="s">
        <v>169</v>
      </c>
      <c r="AY856" s="63"/>
      <c r="DC856" s="35">
        <v>0.24399999999999999</v>
      </c>
      <c r="DD856" s="35">
        <v>0.24</v>
      </c>
      <c r="DE856" s="35" t="s">
        <v>1867</v>
      </c>
      <c r="FR856" s="35" t="s">
        <v>824</v>
      </c>
      <c r="FT856" s="35">
        <v>41</v>
      </c>
    </row>
    <row r="857" spans="1:176" s="35" customFormat="1" x14ac:dyDescent="0.25">
      <c r="A857" s="35">
        <v>41</v>
      </c>
      <c r="B857" s="35" t="s">
        <v>680</v>
      </c>
      <c r="C857" s="35" t="s">
        <v>681</v>
      </c>
      <c r="D857" s="35">
        <v>1994</v>
      </c>
      <c r="E857" s="35">
        <v>1987</v>
      </c>
      <c r="F857" s="35" t="s">
        <v>498</v>
      </c>
      <c r="G857" s="35" t="s">
        <v>683</v>
      </c>
      <c r="H857" s="35">
        <v>38.03</v>
      </c>
      <c r="I857" s="35">
        <v>-84.51</v>
      </c>
      <c r="J857" s="35">
        <v>299.60000000000002</v>
      </c>
      <c r="P857" s="54">
        <v>3</v>
      </c>
      <c r="Q857" s="54"/>
      <c r="R857" s="54" t="s">
        <v>239</v>
      </c>
      <c r="S857" s="54" t="s">
        <v>1555</v>
      </c>
      <c r="T857" s="54" t="s">
        <v>1555</v>
      </c>
      <c r="U857" s="54" t="s">
        <v>1555</v>
      </c>
      <c r="V857" s="54" t="s">
        <v>1903</v>
      </c>
      <c r="W857" s="35">
        <v>1.05</v>
      </c>
      <c r="X857" s="35">
        <v>7.3</v>
      </c>
      <c r="Y857" s="35">
        <v>70.2</v>
      </c>
      <c r="Z857" s="35" t="s">
        <v>531</v>
      </c>
      <c r="AA857" s="35">
        <v>5.48</v>
      </c>
      <c r="AB857" s="35">
        <v>1.1599999999999999</v>
      </c>
      <c r="AD857" s="35" t="s">
        <v>1499</v>
      </c>
      <c r="AE857" s="35" t="s">
        <v>281</v>
      </c>
      <c r="AF857" s="152" t="s">
        <v>666</v>
      </c>
      <c r="AG857" s="35" t="s">
        <v>160</v>
      </c>
      <c r="AH857" s="154" t="s">
        <v>160</v>
      </c>
      <c r="AR857" s="35" t="s">
        <v>147</v>
      </c>
      <c r="AS857" s="35">
        <v>2</v>
      </c>
      <c r="AT857" s="35">
        <v>2</v>
      </c>
      <c r="AU857" s="35" t="s">
        <v>169</v>
      </c>
      <c r="AY857" s="63"/>
      <c r="DC857" s="35">
        <v>0.20599999999999999</v>
      </c>
      <c r="DD857" s="35">
        <v>0.21</v>
      </c>
      <c r="DE857" s="35" t="s">
        <v>1867</v>
      </c>
      <c r="FR857" s="35" t="s">
        <v>824</v>
      </c>
      <c r="FT857" s="35">
        <v>41</v>
      </c>
    </row>
    <row r="858" spans="1:176" s="35" customFormat="1" x14ac:dyDescent="0.25">
      <c r="A858" s="35">
        <v>41</v>
      </c>
      <c r="B858" s="35" t="s">
        <v>680</v>
      </c>
      <c r="C858" s="35" t="s">
        <v>681</v>
      </c>
      <c r="D858" s="35">
        <v>1994</v>
      </c>
      <c r="E858" s="35">
        <v>1987</v>
      </c>
      <c r="F858" s="35" t="s">
        <v>498</v>
      </c>
      <c r="G858" s="35" t="s">
        <v>683</v>
      </c>
      <c r="H858" s="35">
        <v>38.03</v>
      </c>
      <c r="I858" s="35">
        <v>-84.51</v>
      </c>
      <c r="J858" s="35">
        <v>299.60000000000002</v>
      </c>
      <c r="P858" s="54">
        <v>3</v>
      </c>
      <c r="Q858" s="54"/>
      <c r="R858" s="54" t="s">
        <v>685</v>
      </c>
      <c r="S858" s="54" t="s">
        <v>1555</v>
      </c>
      <c r="T858" s="54" t="s">
        <v>1555</v>
      </c>
      <c r="U858" s="54" t="s">
        <v>1555</v>
      </c>
      <c r="V858" s="54" t="s">
        <v>1903</v>
      </c>
      <c r="W858" s="35">
        <v>1.05</v>
      </c>
      <c r="X858" s="35">
        <v>7.3</v>
      </c>
      <c r="Y858" s="35">
        <v>70.2</v>
      </c>
      <c r="Z858" s="35" t="s">
        <v>531</v>
      </c>
      <c r="AA858" s="35">
        <v>5.48</v>
      </c>
      <c r="AB858" s="35">
        <v>1.1599999999999999</v>
      </c>
      <c r="AD858" s="35" t="s">
        <v>1499</v>
      </c>
      <c r="AE858" s="35" t="s">
        <v>281</v>
      </c>
      <c r="AF858" s="152" t="s">
        <v>666</v>
      </c>
      <c r="AG858" s="35" t="s">
        <v>160</v>
      </c>
      <c r="AH858" s="154" t="s">
        <v>160</v>
      </c>
      <c r="AR858" s="35" t="s">
        <v>147</v>
      </c>
      <c r="AS858" s="35">
        <v>2</v>
      </c>
      <c r="AT858" s="35">
        <v>2</v>
      </c>
      <c r="AU858" s="35" t="s">
        <v>169</v>
      </c>
      <c r="AY858" s="63"/>
      <c r="DC858" s="35">
        <v>0.3</v>
      </c>
      <c r="DD858" s="35">
        <v>0.23</v>
      </c>
      <c r="DE858" s="35" t="s">
        <v>1867</v>
      </c>
      <c r="FR858" s="35" t="s">
        <v>824</v>
      </c>
      <c r="FT858" s="35">
        <v>41</v>
      </c>
    </row>
    <row r="859" spans="1:176" s="35" customFormat="1" x14ac:dyDescent="0.25">
      <c r="A859" s="35">
        <v>41</v>
      </c>
      <c r="B859" s="35" t="s">
        <v>680</v>
      </c>
      <c r="C859" s="35" t="s">
        <v>681</v>
      </c>
      <c r="D859" s="35">
        <v>1994</v>
      </c>
      <c r="E859" s="35">
        <v>1987</v>
      </c>
      <c r="F859" s="35" t="s">
        <v>498</v>
      </c>
      <c r="G859" s="35" t="s">
        <v>683</v>
      </c>
      <c r="H859" s="35">
        <v>38.03</v>
      </c>
      <c r="I859" s="35">
        <v>-84.51</v>
      </c>
      <c r="J859" s="35">
        <v>299.60000000000002</v>
      </c>
      <c r="P859" s="54">
        <v>3</v>
      </c>
      <c r="Q859" s="54"/>
      <c r="R859" s="54" t="s">
        <v>264</v>
      </c>
      <c r="S859" s="54" t="s">
        <v>1555</v>
      </c>
      <c r="T859" s="54" t="s">
        <v>1555</v>
      </c>
      <c r="U859" s="54" t="s">
        <v>1555</v>
      </c>
      <c r="V859" s="54" t="s">
        <v>1903</v>
      </c>
      <c r="W859" s="35">
        <v>1.05</v>
      </c>
      <c r="X859" s="35">
        <v>7.3</v>
      </c>
      <c r="Y859" s="35">
        <v>70.2</v>
      </c>
      <c r="Z859" s="35" t="s">
        <v>531</v>
      </c>
      <c r="AA859" s="35">
        <v>5.48</v>
      </c>
      <c r="AB859" s="35">
        <v>1.1599999999999999</v>
      </c>
      <c r="AD859" s="35" t="s">
        <v>1499</v>
      </c>
      <c r="AE859" s="35" t="s">
        <v>281</v>
      </c>
      <c r="AF859" s="152" t="s">
        <v>666</v>
      </c>
      <c r="AG859" s="35" t="s">
        <v>160</v>
      </c>
      <c r="AH859" s="154" t="s">
        <v>160</v>
      </c>
      <c r="AR859" s="35" t="s">
        <v>147</v>
      </c>
      <c r="AS859" s="35">
        <v>2</v>
      </c>
      <c r="AT859" s="35">
        <v>2</v>
      </c>
      <c r="AU859" s="35" t="s">
        <v>169</v>
      </c>
      <c r="AY859" s="63"/>
      <c r="DC859" s="35">
        <v>0.36499999999999999</v>
      </c>
      <c r="DD859" s="35">
        <v>0.17799999999999999</v>
      </c>
      <c r="DE859" s="35" t="s">
        <v>1867</v>
      </c>
      <c r="FR859" s="35" t="s">
        <v>824</v>
      </c>
      <c r="FT859" s="35">
        <v>41</v>
      </c>
    </row>
    <row r="860" spans="1:176" s="35" customFormat="1" x14ac:dyDescent="0.25">
      <c r="A860" s="35">
        <v>41</v>
      </c>
      <c r="B860" s="35" t="s">
        <v>680</v>
      </c>
      <c r="C860" s="35" t="s">
        <v>681</v>
      </c>
      <c r="D860" s="35">
        <v>1994</v>
      </c>
      <c r="E860" s="35">
        <v>1987</v>
      </c>
      <c r="F860" s="35" t="s">
        <v>498</v>
      </c>
      <c r="G860" s="35" t="s">
        <v>683</v>
      </c>
      <c r="H860" s="35">
        <v>38.03</v>
      </c>
      <c r="I860" s="35">
        <v>-84.51</v>
      </c>
      <c r="J860" s="35">
        <v>299.60000000000002</v>
      </c>
      <c r="P860" s="54">
        <v>3</v>
      </c>
      <c r="Q860" s="54"/>
      <c r="R860" s="54" t="s">
        <v>686</v>
      </c>
      <c r="S860" s="54" t="s">
        <v>1555</v>
      </c>
      <c r="T860" s="54" t="s">
        <v>1555</v>
      </c>
      <c r="U860" s="54" t="s">
        <v>1555</v>
      </c>
      <c r="V860" s="54" t="s">
        <v>1903</v>
      </c>
      <c r="W860" s="35">
        <v>1.05</v>
      </c>
      <c r="X860" s="35">
        <v>7.3</v>
      </c>
      <c r="Y860" s="35">
        <v>70.2</v>
      </c>
      <c r="Z860" s="35" t="s">
        <v>531</v>
      </c>
      <c r="AA860" s="35">
        <v>5.48</v>
      </c>
      <c r="AB860" s="35">
        <v>1.1599999999999999</v>
      </c>
      <c r="AD860" s="35" t="s">
        <v>1499</v>
      </c>
      <c r="AE860" s="35" t="s">
        <v>281</v>
      </c>
      <c r="AF860" s="152" t="s">
        <v>666</v>
      </c>
      <c r="AG860" s="35" t="s">
        <v>160</v>
      </c>
      <c r="AH860" s="154" t="s">
        <v>160</v>
      </c>
      <c r="AR860" s="35" t="s">
        <v>147</v>
      </c>
      <c r="AS860" s="35">
        <v>2</v>
      </c>
      <c r="AT860" s="35">
        <v>2</v>
      </c>
      <c r="AU860" s="35" t="s">
        <v>169</v>
      </c>
      <c r="AY860" s="63"/>
      <c r="DC860" s="35">
        <v>0.4</v>
      </c>
      <c r="DD860" s="35">
        <v>0.16</v>
      </c>
      <c r="DE860" s="35" t="s">
        <v>1867</v>
      </c>
      <c r="FR860" s="35" t="s">
        <v>824</v>
      </c>
      <c r="FT860" s="35">
        <v>41</v>
      </c>
    </row>
    <row r="861" spans="1:176" s="35" customFormat="1" x14ac:dyDescent="0.25">
      <c r="A861" s="35">
        <v>41</v>
      </c>
      <c r="B861" s="35" t="s">
        <v>680</v>
      </c>
      <c r="C861" s="35" t="s">
        <v>681</v>
      </c>
      <c r="D861" s="35">
        <v>1994</v>
      </c>
      <c r="E861" s="35">
        <v>1987</v>
      </c>
      <c r="F861" s="35" t="s">
        <v>498</v>
      </c>
      <c r="G861" s="35" t="s">
        <v>683</v>
      </c>
      <c r="H861" s="35">
        <v>38.03</v>
      </c>
      <c r="I861" s="35">
        <v>-84.51</v>
      </c>
      <c r="J861" s="35">
        <v>299.60000000000002</v>
      </c>
      <c r="P861" s="54">
        <v>3</v>
      </c>
      <c r="Q861" s="54"/>
      <c r="R861" s="54" t="s">
        <v>690</v>
      </c>
      <c r="S861" s="54" t="s">
        <v>1555</v>
      </c>
      <c r="T861" s="54" t="s">
        <v>1555</v>
      </c>
      <c r="U861" s="54" t="s">
        <v>1555</v>
      </c>
      <c r="V861" s="54" t="s">
        <v>1903</v>
      </c>
      <c r="W861" s="35">
        <v>1.05</v>
      </c>
      <c r="X861" s="35">
        <v>7.3</v>
      </c>
      <c r="Y861" s="35">
        <v>70.2</v>
      </c>
      <c r="Z861" s="35" t="s">
        <v>531</v>
      </c>
      <c r="AA861" s="35">
        <v>5.48</v>
      </c>
      <c r="AB861" s="35">
        <v>1.1599999999999999</v>
      </c>
      <c r="AD861" s="35" t="s">
        <v>1499</v>
      </c>
      <c r="AE861" s="35" t="s">
        <v>281</v>
      </c>
      <c r="AF861" s="152" t="s">
        <v>666</v>
      </c>
      <c r="AG861" s="35" t="s">
        <v>160</v>
      </c>
      <c r="AH861" s="154" t="s">
        <v>160</v>
      </c>
      <c r="AR861" s="35" t="s">
        <v>147</v>
      </c>
      <c r="AS861" s="35">
        <v>2</v>
      </c>
      <c r="AT861" s="35">
        <v>2</v>
      </c>
      <c r="AU861" s="35" t="s">
        <v>169</v>
      </c>
      <c r="AY861" s="63"/>
      <c r="DC861" s="35">
        <v>0.45</v>
      </c>
      <c r="DD861" s="35">
        <v>0.156</v>
      </c>
      <c r="DE861" s="35" t="s">
        <v>1867</v>
      </c>
      <c r="FR861" s="35" t="s">
        <v>824</v>
      </c>
      <c r="FT861" s="35">
        <v>41</v>
      </c>
    </row>
    <row r="862" spans="1:176" s="35" customFormat="1" x14ac:dyDescent="0.25">
      <c r="A862" s="35">
        <v>41</v>
      </c>
      <c r="B862" s="35" t="s">
        <v>680</v>
      </c>
      <c r="C862" s="35" t="s">
        <v>681</v>
      </c>
      <c r="D862" s="35">
        <v>1994</v>
      </c>
      <c r="E862" s="35">
        <v>1987</v>
      </c>
      <c r="F862" s="35" t="s">
        <v>498</v>
      </c>
      <c r="G862" s="35" t="s">
        <v>683</v>
      </c>
      <c r="H862" s="35">
        <v>38.03</v>
      </c>
      <c r="I862" s="35">
        <v>-84.51</v>
      </c>
      <c r="J862" s="35">
        <v>299.60000000000002</v>
      </c>
      <c r="P862" s="54">
        <v>3</v>
      </c>
      <c r="Q862" s="54"/>
      <c r="R862" s="54" t="s">
        <v>606</v>
      </c>
      <c r="S862" s="54" t="s">
        <v>1555</v>
      </c>
      <c r="T862" s="54" t="s">
        <v>1555</v>
      </c>
      <c r="U862" s="54" t="s">
        <v>1555</v>
      </c>
      <c r="V862" s="54" t="s">
        <v>1903</v>
      </c>
      <c r="W862" s="35">
        <v>1.05</v>
      </c>
      <c r="X862" s="35">
        <v>7.3</v>
      </c>
      <c r="Y862" s="35">
        <v>70.2</v>
      </c>
      <c r="Z862" s="35" t="s">
        <v>531</v>
      </c>
      <c r="AA862" s="35">
        <v>5.48</v>
      </c>
      <c r="AB862" s="35">
        <v>1.1599999999999999</v>
      </c>
      <c r="AD862" s="35" t="s">
        <v>1499</v>
      </c>
      <c r="AE862" s="35" t="s">
        <v>281</v>
      </c>
      <c r="AF862" s="152" t="s">
        <v>666</v>
      </c>
      <c r="AG862" s="35" t="s">
        <v>160</v>
      </c>
      <c r="AH862" s="154" t="s">
        <v>160</v>
      </c>
      <c r="AR862" s="35" t="s">
        <v>147</v>
      </c>
      <c r="AS862" s="35">
        <v>2</v>
      </c>
      <c r="AT862" s="35">
        <v>2</v>
      </c>
      <c r="AU862" s="35" t="s">
        <v>169</v>
      </c>
      <c r="AY862" s="63"/>
      <c r="DC862" s="35">
        <v>0.49</v>
      </c>
      <c r="DD862" s="35">
        <v>0.21</v>
      </c>
      <c r="DE862" s="35" t="s">
        <v>1867</v>
      </c>
      <c r="FR862" s="35" t="s">
        <v>824</v>
      </c>
      <c r="FT862" s="35">
        <v>41</v>
      </c>
    </row>
    <row r="863" spans="1:176" s="35" customFormat="1" x14ac:dyDescent="0.25">
      <c r="A863" s="35">
        <v>41</v>
      </c>
      <c r="B863" s="35" t="s">
        <v>680</v>
      </c>
      <c r="C863" s="35" t="s">
        <v>681</v>
      </c>
      <c r="D863" s="35">
        <v>1994</v>
      </c>
      <c r="E863" s="35">
        <v>1987</v>
      </c>
      <c r="F863" s="35" t="s">
        <v>498</v>
      </c>
      <c r="G863" s="35" t="s">
        <v>683</v>
      </c>
      <c r="H863" s="35">
        <v>38.03</v>
      </c>
      <c r="I863" s="35">
        <v>-84.51</v>
      </c>
      <c r="J863" s="35">
        <v>299.60000000000002</v>
      </c>
      <c r="P863" s="54">
        <v>3</v>
      </c>
      <c r="Q863" s="54"/>
      <c r="R863" s="54" t="s">
        <v>688</v>
      </c>
      <c r="S863" s="54" t="s">
        <v>1555</v>
      </c>
      <c r="T863" s="54" t="s">
        <v>1555</v>
      </c>
      <c r="U863" s="54" t="s">
        <v>1555</v>
      </c>
      <c r="V863" s="54" t="s">
        <v>1903</v>
      </c>
      <c r="W863" s="35">
        <v>1.05</v>
      </c>
      <c r="X863" s="35">
        <v>7.3</v>
      </c>
      <c r="Y863" s="35">
        <v>70.2</v>
      </c>
      <c r="Z863" s="35" t="s">
        <v>531</v>
      </c>
      <c r="AA863" s="35">
        <v>5.48</v>
      </c>
      <c r="AB863" s="35">
        <v>1.1599999999999999</v>
      </c>
      <c r="AD863" s="35" t="s">
        <v>1499</v>
      </c>
      <c r="AE863" s="35" t="s">
        <v>281</v>
      </c>
      <c r="AF863" s="152" t="s">
        <v>666</v>
      </c>
      <c r="AG863" s="35" t="s">
        <v>160</v>
      </c>
      <c r="AH863" s="154" t="s">
        <v>160</v>
      </c>
      <c r="AR863" s="35" t="s">
        <v>147</v>
      </c>
      <c r="AS863" s="35">
        <v>2</v>
      </c>
      <c r="AT863" s="35">
        <v>2</v>
      </c>
      <c r="AU863" s="35" t="s">
        <v>169</v>
      </c>
      <c r="AY863" s="63"/>
      <c r="DC863" s="35">
        <v>0.438</v>
      </c>
      <c r="DD863" s="35">
        <v>0.218</v>
      </c>
      <c r="DE863" s="35" t="s">
        <v>1867</v>
      </c>
      <c r="FR863" s="35" t="s">
        <v>824</v>
      </c>
      <c r="FT863" s="35">
        <v>41</v>
      </c>
    </row>
    <row r="864" spans="1:176" s="26" customFormat="1" x14ac:dyDescent="0.25">
      <c r="A864" s="26">
        <v>41</v>
      </c>
      <c r="B864" s="26" t="s">
        <v>680</v>
      </c>
      <c r="C864" s="26" t="s">
        <v>681</v>
      </c>
      <c r="D864" s="26">
        <v>1994</v>
      </c>
      <c r="E864" s="26">
        <v>1988</v>
      </c>
      <c r="F864" s="26" t="s">
        <v>498</v>
      </c>
      <c r="G864" s="26" t="s">
        <v>683</v>
      </c>
      <c r="H864" s="26">
        <v>38.03</v>
      </c>
      <c r="I864" s="26">
        <v>-84.51</v>
      </c>
      <c r="J864" s="26">
        <v>299.60000000000002</v>
      </c>
      <c r="P864" s="52">
        <v>4</v>
      </c>
      <c r="Q864" s="52"/>
      <c r="R864" s="52" t="s">
        <v>691</v>
      </c>
      <c r="S864" s="52" t="s">
        <v>1555</v>
      </c>
      <c r="T864" s="52" t="s">
        <v>1555</v>
      </c>
      <c r="U864" s="52" t="s">
        <v>1555</v>
      </c>
      <c r="V864" s="52" t="s">
        <v>1903</v>
      </c>
      <c r="W864" s="26">
        <v>1.05</v>
      </c>
      <c r="X864" s="26">
        <v>7.3</v>
      </c>
      <c r="Y864" s="26">
        <v>70.2</v>
      </c>
      <c r="Z864" s="26" t="s">
        <v>531</v>
      </c>
      <c r="AA864" s="26">
        <v>5.48</v>
      </c>
      <c r="AB864" s="26">
        <v>1.1599999999999999</v>
      </c>
      <c r="AD864" s="26" t="s">
        <v>1499</v>
      </c>
      <c r="AE864" s="26" t="s">
        <v>281</v>
      </c>
      <c r="AF864" s="152" t="s">
        <v>666</v>
      </c>
      <c r="AG864" s="26" t="s">
        <v>160</v>
      </c>
      <c r="AH864" s="154" t="s">
        <v>160</v>
      </c>
      <c r="AR864" s="26" t="s">
        <v>147</v>
      </c>
      <c r="AS864" s="26">
        <v>2</v>
      </c>
      <c r="AT864" s="26">
        <v>2</v>
      </c>
      <c r="AU864" s="26" t="s">
        <v>169</v>
      </c>
      <c r="AY864" s="63"/>
      <c r="DC864" s="26">
        <v>0.16300000000000001</v>
      </c>
      <c r="DD864" s="26">
        <v>3.5000000000000003E-2</v>
      </c>
      <c r="DE864" s="26" t="s">
        <v>1867</v>
      </c>
      <c r="FR864" s="26" t="s">
        <v>824</v>
      </c>
      <c r="FT864" s="26">
        <v>41</v>
      </c>
    </row>
    <row r="865" spans="1:176" s="26" customFormat="1" x14ac:dyDescent="0.25">
      <c r="A865" s="26">
        <v>41</v>
      </c>
      <c r="B865" s="26" t="s">
        <v>680</v>
      </c>
      <c r="C865" s="26" t="s">
        <v>681</v>
      </c>
      <c r="D865" s="26">
        <v>1994</v>
      </c>
      <c r="E865" s="26">
        <v>1988</v>
      </c>
      <c r="F865" s="26" t="s">
        <v>498</v>
      </c>
      <c r="G865" s="26" t="s">
        <v>683</v>
      </c>
      <c r="H865" s="26">
        <v>38.03</v>
      </c>
      <c r="I865" s="26">
        <v>-84.51</v>
      </c>
      <c r="J865" s="26">
        <v>299.60000000000002</v>
      </c>
      <c r="P865" s="52">
        <v>4</v>
      </c>
      <c r="Q865" s="52"/>
      <c r="R865" s="52" t="s">
        <v>692</v>
      </c>
      <c r="S865" s="52" t="s">
        <v>1555</v>
      </c>
      <c r="T865" s="52" t="s">
        <v>1555</v>
      </c>
      <c r="U865" s="52" t="s">
        <v>1555</v>
      </c>
      <c r="V865" s="52" t="s">
        <v>1903</v>
      </c>
      <c r="W865" s="26">
        <v>1.05</v>
      </c>
      <c r="X865" s="26">
        <v>7.3</v>
      </c>
      <c r="Y865" s="26">
        <v>70.2</v>
      </c>
      <c r="Z865" s="26" t="s">
        <v>531</v>
      </c>
      <c r="AA865" s="26">
        <v>5.48</v>
      </c>
      <c r="AB865" s="26">
        <v>1.1599999999999999</v>
      </c>
      <c r="AD865" s="26" t="s">
        <v>1499</v>
      </c>
      <c r="AE865" s="26" t="s">
        <v>281</v>
      </c>
      <c r="AF865" s="152" t="s">
        <v>666</v>
      </c>
      <c r="AG865" s="26" t="s">
        <v>160</v>
      </c>
      <c r="AH865" s="154" t="s">
        <v>160</v>
      </c>
      <c r="AR865" s="26" t="s">
        <v>147</v>
      </c>
      <c r="AS865" s="26">
        <v>2</v>
      </c>
      <c r="AT865" s="26">
        <v>2</v>
      </c>
      <c r="AU865" s="26" t="s">
        <v>169</v>
      </c>
      <c r="AY865" s="63"/>
      <c r="DC865" s="26">
        <v>0.2</v>
      </c>
      <c r="DD865" s="26">
        <v>0.113</v>
      </c>
      <c r="DE865" s="26" t="s">
        <v>1867</v>
      </c>
      <c r="FR865" s="26" t="s">
        <v>824</v>
      </c>
      <c r="FT865" s="26">
        <v>41</v>
      </c>
    </row>
    <row r="866" spans="1:176" s="26" customFormat="1" x14ac:dyDescent="0.25">
      <c r="A866" s="26">
        <v>41</v>
      </c>
      <c r="B866" s="26" t="s">
        <v>680</v>
      </c>
      <c r="C866" s="26" t="s">
        <v>681</v>
      </c>
      <c r="D866" s="26">
        <v>1994</v>
      </c>
      <c r="E866" s="26">
        <v>1988</v>
      </c>
      <c r="F866" s="26" t="s">
        <v>498</v>
      </c>
      <c r="G866" s="26" t="s">
        <v>683</v>
      </c>
      <c r="H866" s="26">
        <v>38.03</v>
      </c>
      <c r="I866" s="26">
        <v>-84.51</v>
      </c>
      <c r="J866" s="26">
        <v>299.60000000000002</v>
      </c>
      <c r="P866" s="52">
        <v>4</v>
      </c>
      <c r="Q866" s="52"/>
      <c r="R866" s="52" t="s">
        <v>250</v>
      </c>
      <c r="S866" s="52" t="s">
        <v>1555</v>
      </c>
      <c r="T866" s="52" t="s">
        <v>1555</v>
      </c>
      <c r="U866" s="52" t="s">
        <v>1555</v>
      </c>
      <c r="V866" s="52" t="s">
        <v>1903</v>
      </c>
      <c r="W866" s="26">
        <v>1.05</v>
      </c>
      <c r="X866" s="26">
        <v>7.3</v>
      </c>
      <c r="Y866" s="26">
        <v>70.2</v>
      </c>
      <c r="Z866" s="26" t="s">
        <v>531</v>
      </c>
      <c r="AA866" s="26">
        <v>5.48</v>
      </c>
      <c r="AB866" s="26">
        <v>1.1599999999999999</v>
      </c>
      <c r="AD866" s="26" t="s">
        <v>1499</v>
      </c>
      <c r="AE866" s="26" t="s">
        <v>281</v>
      </c>
      <c r="AF866" s="152" t="s">
        <v>666</v>
      </c>
      <c r="AG866" s="26" t="s">
        <v>160</v>
      </c>
      <c r="AH866" s="154" t="s">
        <v>160</v>
      </c>
      <c r="AR866" s="26" t="s">
        <v>147</v>
      </c>
      <c r="AS866" s="26">
        <v>2</v>
      </c>
      <c r="AT866" s="26">
        <v>2</v>
      </c>
      <c r="AU866" s="26" t="s">
        <v>169</v>
      </c>
      <c r="AY866" s="63"/>
      <c r="DC866" s="26">
        <v>0.21</v>
      </c>
      <c r="DD866" s="26">
        <v>0.15</v>
      </c>
      <c r="DE866" s="26" t="s">
        <v>1867</v>
      </c>
      <c r="FR866" s="26" t="s">
        <v>824</v>
      </c>
      <c r="FT866" s="26">
        <v>41</v>
      </c>
    </row>
    <row r="867" spans="1:176" s="26" customFormat="1" x14ac:dyDescent="0.25">
      <c r="A867" s="26">
        <v>41</v>
      </c>
      <c r="B867" s="26" t="s">
        <v>680</v>
      </c>
      <c r="C867" s="26" t="s">
        <v>681</v>
      </c>
      <c r="D867" s="26">
        <v>1994</v>
      </c>
      <c r="E867" s="26">
        <v>1988</v>
      </c>
      <c r="F867" s="26" t="s">
        <v>498</v>
      </c>
      <c r="G867" s="26" t="s">
        <v>683</v>
      </c>
      <c r="H867" s="26">
        <v>38.03</v>
      </c>
      <c r="I867" s="26">
        <v>-84.51</v>
      </c>
      <c r="J867" s="26">
        <v>299.60000000000002</v>
      </c>
      <c r="P867" s="52">
        <v>4</v>
      </c>
      <c r="Q867" s="52"/>
      <c r="R867" s="52" t="s">
        <v>689</v>
      </c>
      <c r="S867" s="52" t="s">
        <v>1555</v>
      </c>
      <c r="T867" s="52" t="s">
        <v>1555</v>
      </c>
      <c r="U867" s="52" t="s">
        <v>1555</v>
      </c>
      <c r="V867" s="52" t="s">
        <v>1903</v>
      </c>
      <c r="W867" s="26">
        <v>1.05</v>
      </c>
      <c r="X867" s="26">
        <v>7.3</v>
      </c>
      <c r="Y867" s="26">
        <v>70.2</v>
      </c>
      <c r="Z867" s="26" t="s">
        <v>531</v>
      </c>
      <c r="AA867" s="26">
        <v>5.48</v>
      </c>
      <c r="AB867" s="26">
        <v>1.1599999999999999</v>
      </c>
      <c r="AD867" s="26" t="s">
        <v>1499</v>
      </c>
      <c r="AE867" s="26" t="s">
        <v>281</v>
      </c>
      <c r="AF867" s="152" t="s">
        <v>666</v>
      </c>
      <c r="AG867" s="26" t="s">
        <v>160</v>
      </c>
      <c r="AH867" s="154" t="s">
        <v>160</v>
      </c>
      <c r="AR867" s="26" t="s">
        <v>147</v>
      </c>
      <c r="AS867" s="26">
        <v>2</v>
      </c>
      <c r="AT867" s="26">
        <v>2</v>
      </c>
      <c r="AU867" s="26" t="s">
        <v>169</v>
      </c>
      <c r="AY867" s="63"/>
      <c r="DC867" s="26">
        <v>0.3</v>
      </c>
      <c r="DD867" s="26">
        <v>0.19</v>
      </c>
      <c r="DE867" s="26" t="s">
        <v>1867</v>
      </c>
      <c r="FR867" s="26" t="s">
        <v>824</v>
      </c>
      <c r="FT867" s="26">
        <v>41</v>
      </c>
    </row>
    <row r="868" spans="1:176" s="26" customFormat="1" x14ac:dyDescent="0.25">
      <c r="A868" s="26">
        <v>41</v>
      </c>
      <c r="B868" s="26" t="s">
        <v>680</v>
      </c>
      <c r="C868" s="26" t="s">
        <v>681</v>
      </c>
      <c r="D868" s="26">
        <v>1994</v>
      </c>
      <c r="E868" s="26">
        <v>1988</v>
      </c>
      <c r="F868" s="26" t="s">
        <v>498</v>
      </c>
      <c r="G868" s="26" t="s">
        <v>683</v>
      </c>
      <c r="H868" s="26">
        <v>38.03</v>
      </c>
      <c r="I868" s="26">
        <v>-84.51</v>
      </c>
      <c r="J868" s="26">
        <v>299.60000000000002</v>
      </c>
      <c r="P868" s="52">
        <v>4</v>
      </c>
      <c r="Q868" s="52"/>
      <c r="R868" s="52" t="s">
        <v>239</v>
      </c>
      <c r="S868" s="52" t="s">
        <v>1555</v>
      </c>
      <c r="T868" s="52" t="s">
        <v>1555</v>
      </c>
      <c r="U868" s="52" t="s">
        <v>1555</v>
      </c>
      <c r="V868" s="52" t="s">
        <v>1903</v>
      </c>
      <c r="W868" s="26">
        <v>1.05</v>
      </c>
      <c r="X868" s="26">
        <v>7.3</v>
      </c>
      <c r="Y868" s="26">
        <v>70.2</v>
      </c>
      <c r="Z868" s="26" t="s">
        <v>531</v>
      </c>
      <c r="AA868" s="26">
        <v>5.48</v>
      </c>
      <c r="AB868" s="26">
        <v>1.1599999999999999</v>
      </c>
      <c r="AD868" s="26" t="s">
        <v>1499</v>
      </c>
      <c r="AE868" s="26" t="s">
        <v>281</v>
      </c>
      <c r="AF868" s="152" t="s">
        <v>666</v>
      </c>
      <c r="AG868" s="26" t="s">
        <v>160</v>
      </c>
      <c r="AH868" s="154" t="s">
        <v>160</v>
      </c>
      <c r="AR868" s="26" t="s">
        <v>147</v>
      </c>
      <c r="AS868" s="26">
        <v>2</v>
      </c>
      <c r="AT868" s="26">
        <v>2</v>
      </c>
      <c r="AU868" s="26" t="s">
        <v>169</v>
      </c>
      <c r="AY868" s="63"/>
      <c r="DC868" s="26">
        <v>0.33150000000000002</v>
      </c>
      <c r="DD868" s="26">
        <v>0.22</v>
      </c>
      <c r="DE868" s="26" t="s">
        <v>1867</v>
      </c>
      <c r="FR868" s="26" t="s">
        <v>824</v>
      </c>
      <c r="FT868" s="26">
        <v>41</v>
      </c>
    </row>
    <row r="869" spans="1:176" s="26" customFormat="1" x14ac:dyDescent="0.25">
      <c r="A869" s="26">
        <v>41</v>
      </c>
      <c r="B869" s="26" t="s">
        <v>680</v>
      </c>
      <c r="C869" s="26" t="s">
        <v>681</v>
      </c>
      <c r="D869" s="26">
        <v>1994</v>
      </c>
      <c r="E869" s="26">
        <v>1988</v>
      </c>
      <c r="F869" s="26" t="s">
        <v>498</v>
      </c>
      <c r="G869" s="26" t="s">
        <v>683</v>
      </c>
      <c r="H869" s="26">
        <v>38.03</v>
      </c>
      <c r="I869" s="26">
        <v>-84.51</v>
      </c>
      <c r="J869" s="26">
        <v>299.60000000000002</v>
      </c>
      <c r="P869" s="52">
        <v>4</v>
      </c>
      <c r="Q869" s="52"/>
      <c r="R869" s="52" t="s">
        <v>685</v>
      </c>
      <c r="S869" s="52" t="s">
        <v>1555</v>
      </c>
      <c r="T869" s="52" t="s">
        <v>1555</v>
      </c>
      <c r="U869" s="52" t="s">
        <v>1555</v>
      </c>
      <c r="V869" s="52" t="s">
        <v>1903</v>
      </c>
      <c r="W869" s="26">
        <v>1.05</v>
      </c>
      <c r="X869" s="26">
        <v>7.3</v>
      </c>
      <c r="Y869" s="26">
        <v>70.2</v>
      </c>
      <c r="Z869" s="26" t="s">
        <v>531</v>
      </c>
      <c r="AA869" s="26">
        <v>5.48</v>
      </c>
      <c r="AB869" s="26">
        <v>1.1599999999999999</v>
      </c>
      <c r="AD869" s="26" t="s">
        <v>1499</v>
      </c>
      <c r="AE869" s="26" t="s">
        <v>281</v>
      </c>
      <c r="AF869" s="152" t="s">
        <v>666</v>
      </c>
      <c r="AG869" s="26" t="s">
        <v>160</v>
      </c>
      <c r="AH869" s="154" t="s">
        <v>160</v>
      </c>
      <c r="AR869" s="26" t="s">
        <v>147</v>
      </c>
      <c r="AS869" s="26">
        <v>2</v>
      </c>
      <c r="AT869" s="26">
        <v>2</v>
      </c>
      <c r="AU869" s="26" t="s">
        <v>169</v>
      </c>
      <c r="AY869" s="63"/>
      <c r="DC869" s="26">
        <v>0.34799999999999998</v>
      </c>
      <c r="DD869" s="26">
        <v>0.25</v>
      </c>
      <c r="DE869" s="26" t="s">
        <v>1867</v>
      </c>
      <c r="FR869" s="26" t="s">
        <v>824</v>
      </c>
      <c r="FT869" s="26">
        <v>41</v>
      </c>
    </row>
    <row r="870" spans="1:176" s="26" customFormat="1" x14ac:dyDescent="0.25">
      <c r="A870" s="26">
        <v>41</v>
      </c>
      <c r="B870" s="26" t="s">
        <v>680</v>
      </c>
      <c r="C870" s="26" t="s">
        <v>681</v>
      </c>
      <c r="D870" s="26">
        <v>1994</v>
      </c>
      <c r="E870" s="26">
        <v>1988</v>
      </c>
      <c r="F870" s="26" t="s">
        <v>498</v>
      </c>
      <c r="G870" s="26" t="s">
        <v>683</v>
      </c>
      <c r="H870" s="26">
        <v>38.03</v>
      </c>
      <c r="I870" s="26">
        <v>-84.51</v>
      </c>
      <c r="J870" s="26">
        <v>299.60000000000002</v>
      </c>
      <c r="P870" s="52">
        <v>4</v>
      </c>
      <c r="Q870" s="52"/>
      <c r="R870" s="52" t="s">
        <v>264</v>
      </c>
      <c r="S870" s="52" t="s">
        <v>1555</v>
      </c>
      <c r="T870" s="52" t="s">
        <v>1555</v>
      </c>
      <c r="U870" s="52" t="s">
        <v>1555</v>
      </c>
      <c r="V870" s="52" t="s">
        <v>1903</v>
      </c>
      <c r="W870" s="26">
        <v>1.05</v>
      </c>
      <c r="X870" s="26">
        <v>7.3</v>
      </c>
      <c r="Y870" s="26">
        <v>70.2</v>
      </c>
      <c r="Z870" s="26" t="s">
        <v>531</v>
      </c>
      <c r="AA870" s="26">
        <v>5.48</v>
      </c>
      <c r="AB870" s="26">
        <v>1.1599999999999999</v>
      </c>
      <c r="AD870" s="26" t="s">
        <v>1499</v>
      </c>
      <c r="AE870" s="26" t="s">
        <v>281</v>
      </c>
      <c r="AF870" s="152" t="s">
        <v>666</v>
      </c>
      <c r="AG870" s="26" t="s">
        <v>160</v>
      </c>
      <c r="AH870" s="154" t="s">
        <v>160</v>
      </c>
      <c r="AR870" s="26" t="s">
        <v>147</v>
      </c>
      <c r="AS870" s="26">
        <v>2</v>
      </c>
      <c r="AT870" s="26">
        <v>2</v>
      </c>
      <c r="AU870" s="26" t="s">
        <v>169</v>
      </c>
      <c r="AY870" s="63"/>
      <c r="DC870" s="26">
        <v>0.36</v>
      </c>
      <c r="DD870" s="26">
        <v>0.24</v>
      </c>
      <c r="DE870" s="26" t="s">
        <v>1867</v>
      </c>
      <c r="FR870" s="26" t="s">
        <v>824</v>
      </c>
      <c r="FT870" s="26">
        <v>41</v>
      </c>
    </row>
    <row r="871" spans="1:176" s="26" customFormat="1" x14ac:dyDescent="0.25">
      <c r="A871" s="26">
        <v>41</v>
      </c>
      <c r="B871" s="26" t="s">
        <v>680</v>
      </c>
      <c r="C871" s="26" t="s">
        <v>681</v>
      </c>
      <c r="D871" s="26">
        <v>1994</v>
      </c>
      <c r="E871" s="26">
        <v>1988</v>
      </c>
      <c r="F871" s="26" t="s">
        <v>498</v>
      </c>
      <c r="G871" s="26" t="s">
        <v>683</v>
      </c>
      <c r="H871" s="26">
        <v>38.03</v>
      </c>
      <c r="I871" s="26">
        <v>-84.51</v>
      </c>
      <c r="J871" s="26">
        <v>299.60000000000002</v>
      </c>
      <c r="P871" s="52">
        <v>4</v>
      </c>
      <c r="Q871" s="52"/>
      <c r="R871" s="52" t="s">
        <v>265</v>
      </c>
      <c r="S871" s="52" t="s">
        <v>1555</v>
      </c>
      <c r="T871" s="52" t="s">
        <v>1555</v>
      </c>
      <c r="U871" s="52" t="s">
        <v>1555</v>
      </c>
      <c r="V871" s="52" t="s">
        <v>1903</v>
      </c>
      <c r="W871" s="26">
        <v>1.05</v>
      </c>
      <c r="X871" s="26">
        <v>7.3</v>
      </c>
      <c r="Y871" s="26">
        <v>70.2</v>
      </c>
      <c r="Z871" s="26" t="s">
        <v>531</v>
      </c>
      <c r="AA871" s="26">
        <v>5.48</v>
      </c>
      <c r="AB871" s="26">
        <v>1.1599999999999999</v>
      </c>
      <c r="AD871" s="26" t="s">
        <v>1499</v>
      </c>
      <c r="AE871" s="26" t="s">
        <v>281</v>
      </c>
      <c r="AF871" s="152" t="s">
        <v>666</v>
      </c>
      <c r="AG871" s="26" t="s">
        <v>160</v>
      </c>
      <c r="AH871" s="154" t="s">
        <v>160</v>
      </c>
      <c r="AR871" s="26" t="s">
        <v>147</v>
      </c>
      <c r="AS871" s="26">
        <v>2</v>
      </c>
      <c r="AT871" s="26">
        <v>2</v>
      </c>
      <c r="AU871" s="26" t="s">
        <v>169</v>
      </c>
      <c r="AY871" s="63"/>
      <c r="DC871" s="26">
        <v>0.37</v>
      </c>
      <c r="DD871" s="26">
        <v>0.22</v>
      </c>
      <c r="DE871" s="26" t="s">
        <v>1867</v>
      </c>
      <c r="FR871" s="26" t="s">
        <v>824</v>
      </c>
      <c r="FT871" s="26">
        <v>41</v>
      </c>
    </row>
    <row r="872" spans="1:176" s="26" customFormat="1" x14ac:dyDescent="0.25">
      <c r="A872" s="26">
        <v>41</v>
      </c>
      <c r="B872" s="26" t="s">
        <v>680</v>
      </c>
      <c r="C872" s="26" t="s">
        <v>681</v>
      </c>
      <c r="D872" s="26">
        <v>1994</v>
      </c>
      <c r="E872" s="26">
        <v>1988</v>
      </c>
      <c r="F872" s="26" t="s">
        <v>498</v>
      </c>
      <c r="G872" s="26" t="s">
        <v>683</v>
      </c>
      <c r="H872" s="26">
        <v>38.03</v>
      </c>
      <c r="I872" s="26">
        <v>-84.51</v>
      </c>
      <c r="J872" s="26">
        <v>299.60000000000002</v>
      </c>
      <c r="P872" s="52">
        <v>4</v>
      </c>
      <c r="Q872" s="52"/>
      <c r="R872" s="52" t="s">
        <v>266</v>
      </c>
      <c r="S872" s="52" t="s">
        <v>1555</v>
      </c>
      <c r="T872" s="52" t="s">
        <v>1555</v>
      </c>
      <c r="U872" s="52" t="s">
        <v>1555</v>
      </c>
      <c r="V872" s="52" t="s">
        <v>1903</v>
      </c>
      <c r="W872" s="26">
        <v>1.05</v>
      </c>
      <c r="X872" s="26">
        <v>7.3</v>
      </c>
      <c r="Y872" s="26">
        <v>70.2</v>
      </c>
      <c r="Z872" s="26" t="s">
        <v>531</v>
      </c>
      <c r="AA872" s="26">
        <v>5.48</v>
      </c>
      <c r="AB872" s="26">
        <v>1.1599999999999999</v>
      </c>
      <c r="AD872" s="26" t="s">
        <v>1499</v>
      </c>
      <c r="AE872" s="26" t="s">
        <v>281</v>
      </c>
      <c r="AF872" s="152" t="s">
        <v>666</v>
      </c>
      <c r="AG872" s="26" t="s">
        <v>160</v>
      </c>
      <c r="AH872" s="154" t="s">
        <v>160</v>
      </c>
      <c r="AR872" s="26" t="s">
        <v>147</v>
      </c>
      <c r="AS872" s="26">
        <v>2</v>
      </c>
      <c r="AT872" s="26">
        <v>2</v>
      </c>
      <c r="AU872" s="26" t="s">
        <v>169</v>
      </c>
      <c r="AY872" s="63"/>
      <c r="DC872" s="26">
        <v>0.41199999999999998</v>
      </c>
      <c r="DD872" s="26">
        <v>0.187</v>
      </c>
      <c r="DE872" s="26" t="s">
        <v>1867</v>
      </c>
      <c r="FR872" s="26" t="s">
        <v>824</v>
      </c>
      <c r="FT872" s="26">
        <v>41</v>
      </c>
    </row>
    <row r="873" spans="1:176" s="26" customFormat="1" x14ac:dyDescent="0.25">
      <c r="A873" s="26">
        <v>41</v>
      </c>
      <c r="B873" s="26" t="s">
        <v>680</v>
      </c>
      <c r="C873" s="26" t="s">
        <v>681</v>
      </c>
      <c r="D873" s="26">
        <v>1994</v>
      </c>
      <c r="E873" s="26">
        <v>1988</v>
      </c>
      <c r="F873" s="26" t="s">
        <v>498</v>
      </c>
      <c r="G873" s="26" t="s">
        <v>683</v>
      </c>
      <c r="H873" s="26">
        <v>38.03</v>
      </c>
      <c r="I873" s="26">
        <v>-84.51</v>
      </c>
      <c r="J873" s="26">
        <v>299.60000000000002</v>
      </c>
      <c r="P873" s="52">
        <v>4</v>
      </c>
      <c r="Q873" s="52"/>
      <c r="R873" s="52" t="s">
        <v>687</v>
      </c>
      <c r="S873" s="52" t="s">
        <v>1555</v>
      </c>
      <c r="T873" s="52" t="s">
        <v>1555</v>
      </c>
      <c r="U873" s="52" t="s">
        <v>1555</v>
      </c>
      <c r="V873" s="52" t="s">
        <v>1903</v>
      </c>
      <c r="W873" s="26">
        <v>1.05</v>
      </c>
      <c r="X873" s="26">
        <v>7.3</v>
      </c>
      <c r="Y873" s="26">
        <v>70.2</v>
      </c>
      <c r="Z873" s="26" t="s">
        <v>531</v>
      </c>
      <c r="AA873" s="26">
        <v>5.48</v>
      </c>
      <c r="AB873" s="26">
        <v>1.1599999999999999</v>
      </c>
      <c r="AD873" s="26" t="s">
        <v>1499</v>
      </c>
      <c r="AE873" s="26" t="s">
        <v>281</v>
      </c>
      <c r="AF873" s="152" t="s">
        <v>666</v>
      </c>
      <c r="AG873" s="26" t="s">
        <v>160</v>
      </c>
      <c r="AH873" s="154" t="s">
        <v>160</v>
      </c>
      <c r="AR873" s="26" t="s">
        <v>147</v>
      </c>
      <c r="AS873" s="26">
        <v>2</v>
      </c>
      <c r="AT873" s="26">
        <v>2</v>
      </c>
      <c r="AU873" s="26" t="s">
        <v>169</v>
      </c>
      <c r="AY873" s="63"/>
      <c r="DC873" s="26">
        <v>0.40960000000000002</v>
      </c>
      <c r="DD873" s="26">
        <v>0.215</v>
      </c>
      <c r="DE873" s="26" t="s">
        <v>1867</v>
      </c>
      <c r="FR873" s="26" t="s">
        <v>824</v>
      </c>
      <c r="FT873" s="26">
        <v>41</v>
      </c>
    </row>
    <row r="874" spans="1:176" s="26" customFormat="1" x14ac:dyDescent="0.25">
      <c r="A874" s="26">
        <v>41</v>
      </c>
      <c r="B874" s="26" t="s">
        <v>680</v>
      </c>
      <c r="C874" s="26" t="s">
        <v>681</v>
      </c>
      <c r="D874" s="26">
        <v>1994</v>
      </c>
      <c r="E874" s="26">
        <v>1988</v>
      </c>
      <c r="F874" s="26" t="s">
        <v>498</v>
      </c>
      <c r="G874" s="26" t="s">
        <v>683</v>
      </c>
      <c r="H874" s="26">
        <v>38.03</v>
      </c>
      <c r="I874" s="26">
        <v>-84.51</v>
      </c>
      <c r="J874" s="26">
        <v>299.60000000000002</v>
      </c>
      <c r="P874" s="52">
        <v>4</v>
      </c>
      <c r="Q874" s="52"/>
      <c r="R874" s="52" t="s">
        <v>606</v>
      </c>
      <c r="S874" s="52" t="s">
        <v>1555</v>
      </c>
      <c r="T874" s="52" t="s">
        <v>1555</v>
      </c>
      <c r="U874" s="52" t="s">
        <v>1555</v>
      </c>
      <c r="V874" s="52" t="s">
        <v>1903</v>
      </c>
      <c r="W874" s="26">
        <v>1.05</v>
      </c>
      <c r="X874" s="26">
        <v>7.3</v>
      </c>
      <c r="Y874" s="26">
        <v>70.2</v>
      </c>
      <c r="Z874" s="26" t="s">
        <v>531</v>
      </c>
      <c r="AA874" s="26">
        <v>5.48</v>
      </c>
      <c r="AB874" s="26">
        <v>1.1599999999999999</v>
      </c>
      <c r="AD874" s="26" t="s">
        <v>1499</v>
      </c>
      <c r="AE874" s="26" t="s">
        <v>281</v>
      </c>
      <c r="AF874" s="152" t="s">
        <v>666</v>
      </c>
      <c r="AG874" s="26" t="s">
        <v>160</v>
      </c>
      <c r="AH874" s="154" t="s">
        <v>160</v>
      </c>
      <c r="AR874" s="26" t="s">
        <v>147</v>
      </c>
      <c r="AS874" s="26">
        <v>2</v>
      </c>
      <c r="AT874" s="26">
        <v>2</v>
      </c>
      <c r="AU874" s="26" t="s">
        <v>169</v>
      </c>
      <c r="AY874" s="63"/>
      <c r="DC874" s="26">
        <v>0.41899999999999998</v>
      </c>
      <c r="DD874" s="26">
        <v>0.253</v>
      </c>
      <c r="DE874" s="26" t="s">
        <v>1867</v>
      </c>
      <c r="FR874" s="26" t="s">
        <v>824</v>
      </c>
      <c r="FT874" s="26">
        <v>41</v>
      </c>
    </row>
    <row r="875" spans="1:176" s="26" customFormat="1" x14ac:dyDescent="0.25">
      <c r="A875" s="26">
        <v>41</v>
      </c>
      <c r="B875" s="26" t="s">
        <v>680</v>
      </c>
      <c r="C875" s="26" t="s">
        <v>681</v>
      </c>
      <c r="D875" s="26">
        <v>1994</v>
      </c>
      <c r="E875" s="26">
        <v>1988</v>
      </c>
      <c r="F875" s="26" t="s">
        <v>498</v>
      </c>
      <c r="G875" s="26" t="s">
        <v>683</v>
      </c>
      <c r="H875" s="26">
        <v>38.03</v>
      </c>
      <c r="I875" s="26">
        <v>-84.51</v>
      </c>
      <c r="J875" s="26">
        <v>299.60000000000002</v>
      </c>
      <c r="P875" s="52">
        <v>4</v>
      </c>
      <c r="Q875" s="52"/>
      <c r="R875" s="52" t="s">
        <v>688</v>
      </c>
      <c r="S875" s="52" t="s">
        <v>1555</v>
      </c>
      <c r="T875" s="52" t="s">
        <v>1555</v>
      </c>
      <c r="U875" s="52" t="s">
        <v>1555</v>
      </c>
      <c r="V875" s="52" t="s">
        <v>1903</v>
      </c>
      <c r="W875" s="26">
        <v>1.05</v>
      </c>
      <c r="X875" s="26">
        <v>7.3</v>
      </c>
      <c r="Y875" s="26">
        <v>70.2</v>
      </c>
      <c r="Z875" s="26" t="s">
        <v>531</v>
      </c>
      <c r="AA875" s="26">
        <v>5.48</v>
      </c>
      <c r="AB875" s="26">
        <v>1.1599999999999999</v>
      </c>
      <c r="AD875" s="26" t="s">
        <v>1499</v>
      </c>
      <c r="AE875" s="26" t="s">
        <v>281</v>
      </c>
      <c r="AF875" s="152" t="s">
        <v>666</v>
      </c>
      <c r="AG875" s="26" t="s">
        <v>160</v>
      </c>
      <c r="AH875" s="154" t="s">
        <v>160</v>
      </c>
      <c r="AR875" s="26" t="s">
        <v>147</v>
      </c>
      <c r="AS875" s="26">
        <v>2</v>
      </c>
      <c r="AT875" s="26">
        <v>2</v>
      </c>
      <c r="AU875" s="26" t="s">
        <v>169</v>
      </c>
      <c r="AY875" s="63"/>
      <c r="DC875" s="26">
        <v>0.48299999999999998</v>
      </c>
      <c r="DD875" s="26">
        <v>0.40699999999999997</v>
      </c>
      <c r="DE875" s="26" t="s">
        <v>1867</v>
      </c>
      <c r="FR875" s="26" t="s">
        <v>824</v>
      </c>
      <c r="FT875" s="26">
        <v>41</v>
      </c>
    </row>
    <row r="876" spans="1:176" s="35" customFormat="1" x14ac:dyDescent="0.25">
      <c r="A876" s="35">
        <v>41</v>
      </c>
      <c r="B876" s="35" t="s">
        <v>680</v>
      </c>
      <c r="C876" s="35" t="s">
        <v>681</v>
      </c>
      <c r="D876" s="35">
        <v>1994</v>
      </c>
      <c r="E876" s="35">
        <v>1989</v>
      </c>
      <c r="F876" s="35" t="s">
        <v>498</v>
      </c>
      <c r="G876" s="35" t="s">
        <v>683</v>
      </c>
      <c r="H876" s="35">
        <v>38.03</v>
      </c>
      <c r="I876" s="35">
        <v>-84.51</v>
      </c>
      <c r="J876" s="35">
        <v>299.60000000000002</v>
      </c>
      <c r="P876" s="54">
        <v>5</v>
      </c>
      <c r="Q876" s="54"/>
      <c r="R876" s="54" t="s">
        <v>691</v>
      </c>
      <c r="S876" s="54" t="s">
        <v>1555</v>
      </c>
      <c r="T876" s="54" t="s">
        <v>1555</v>
      </c>
      <c r="U876" s="54" t="s">
        <v>1555</v>
      </c>
      <c r="V876" s="54" t="s">
        <v>1903</v>
      </c>
      <c r="W876" s="35">
        <v>1.05</v>
      </c>
      <c r="X876" s="35">
        <v>7.3</v>
      </c>
      <c r="Y876" s="35">
        <v>70.2</v>
      </c>
      <c r="Z876" s="35" t="s">
        <v>531</v>
      </c>
      <c r="AA876" s="35">
        <v>5.48</v>
      </c>
      <c r="AB876" s="35">
        <v>1.1599999999999999</v>
      </c>
      <c r="AD876" s="35" t="s">
        <v>1499</v>
      </c>
      <c r="AE876" s="35" t="s">
        <v>281</v>
      </c>
      <c r="AF876" s="152" t="s">
        <v>666</v>
      </c>
      <c r="AG876" s="35" t="s">
        <v>160</v>
      </c>
      <c r="AH876" s="154" t="s">
        <v>160</v>
      </c>
      <c r="AR876" s="35" t="s">
        <v>147</v>
      </c>
      <c r="AS876" s="35">
        <v>2</v>
      </c>
      <c r="AT876" s="35">
        <v>2</v>
      </c>
      <c r="AU876" s="35" t="s">
        <v>169</v>
      </c>
      <c r="AY876" s="63"/>
      <c r="DC876" s="35">
        <v>0.01</v>
      </c>
      <c r="DD876" s="35">
        <v>0.01</v>
      </c>
      <c r="DE876" s="35" t="s">
        <v>1867</v>
      </c>
      <c r="FR876" s="35" t="s">
        <v>824</v>
      </c>
      <c r="FT876" s="35">
        <v>41</v>
      </c>
    </row>
    <row r="877" spans="1:176" s="35" customFormat="1" x14ac:dyDescent="0.25">
      <c r="A877" s="35">
        <v>41</v>
      </c>
      <c r="B877" s="35" t="s">
        <v>680</v>
      </c>
      <c r="C877" s="35" t="s">
        <v>681</v>
      </c>
      <c r="D877" s="35">
        <v>1994</v>
      </c>
      <c r="E877" s="35">
        <v>1989</v>
      </c>
      <c r="F877" s="35" t="s">
        <v>498</v>
      </c>
      <c r="G877" s="35" t="s">
        <v>683</v>
      </c>
      <c r="H877" s="35">
        <v>38.03</v>
      </c>
      <c r="I877" s="35">
        <v>-84.51</v>
      </c>
      <c r="J877" s="35">
        <v>299.60000000000002</v>
      </c>
      <c r="P877" s="54">
        <v>5</v>
      </c>
      <c r="Q877" s="54"/>
      <c r="R877" s="54" t="s">
        <v>692</v>
      </c>
      <c r="S877" s="54" t="s">
        <v>1555</v>
      </c>
      <c r="T877" s="54" t="s">
        <v>1555</v>
      </c>
      <c r="U877" s="54" t="s">
        <v>1555</v>
      </c>
      <c r="V877" s="54" t="s">
        <v>1903</v>
      </c>
      <c r="W877" s="35">
        <v>1.05</v>
      </c>
      <c r="X877" s="35">
        <v>7.3</v>
      </c>
      <c r="Y877" s="35">
        <v>70.2</v>
      </c>
      <c r="Z877" s="35" t="s">
        <v>531</v>
      </c>
      <c r="AA877" s="35">
        <v>5.48</v>
      </c>
      <c r="AB877" s="35">
        <v>1.1599999999999999</v>
      </c>
      <c r="AD877" s="35" t="s">
        <v>1499</v>
      </c>
      <c r="AE877" s="35" t="s">
        <v>281</v>
      </c>
      <c r="AF877" s="152" t="s">
        <v>666</v>
      </c>
      <c r="AG877" s="35" t="s">
        <v>160</v>
      </c>
      <c r="AH877" s="154" t="s">
        <v>160</v>
      </c>
      <c r="AR877" s="35" t="s">
        <v>147</v>
      </c>
      <c r="AS877" s="35">
        <v>2</v>
      </c>
      <c r="AT877" s="35">
        <v>2</v>
      </c>
      <c r="AU877" s="35" t="s">
        <v>169</v>
      </c>
      <c r="AY877" s="63"/>
      <c r="DC877" s="35">
        <v>0.01</v>
      </c>
      <c r="DD877" s="35">
        <v>0.03</v>
      </c>
      <c r="DE877" s="35" t="s">
        <v>1867</v>
      </c>
      <c r="FR877" s="35" t="s">
        <v>824</v>
      </c>
      <c r="FT877" s="35">
        <v>41</v>
      </c>
    </row>
    <row r="878" spans="1:176" s="35" customFormat="1" x14ac:dyDescent="0.25">
      <c r="A878" s="35">
        <v>41</v>
      </c>
      <c r="B878" s="35" t="s">
        <v>680</v>
      </c>
      <c r="C878" s="35" t="s">
        <v>681</v>
      </c>
      <c r="D878" s="35">
        <v>1994</v>
      </c>
      <c r="E878" s="35">
        <v>1989</v>
      </c>
      <c r="F878" s="35" t="s">
        <v>498</v>
      </c>
      <c r="G878" s="35" t="s">
        <v>683</v>
      </c>
      <c r="H878" s="35">
        <v>38.03</v>
      </c>
      <c r="I878" s="35">
        <v>-84.51</v>
      </c>
      <c r="J878" s="35">
        <v>299.60000000000002</v>
      </c>
      <c r="P878" s="54">
        <v>5</v>
      </c>
      <c r="Q878" s="54"/>
      <c r="R878" s="54" t="s">
        <v>250</v>
      </c>
      <c r="S878" s="54" t="s">
        <v>1555</v>
      </c>
      <c r="T878" s="54" t="s">
        <v>1555</v>
      </c>
      <c r="U878" s="54" t="s">
        <v>1555</v>
      </c>
      <c r="V878" s="54" t="s">
        <v>1903</v>
      </c>
      <c r="W878" s="35">
        <v>1.05</v>
      </c>
      <c r="X878" s="35">
        <v>7.3</v>
      </c>
      <c r="Y878" s="35">
        <v>70.2</v>
      </c>
      <c r="Z878" s="35" t="s">
        <v>531</v>
      </c>
      <c r="AA878" s="35">
        <v>5.48</v>
      </c>
      <c r="AB878" s="35">
        <v>1.1599999999999999</v>
      </c>
      <c r="AD878" s="35" t="s">
        <v>1499</v>
      </c>
      <c r="AE878" s="35" t="s">
        <v>281</v>
      </c>
      <c r="AF878" s="152" t="s">
        <v>666</v>
      </c>
      <c r="AG878" s="35" t="s">
        <v>160</v>
      </c>
      <c r="AH878" s="154" t="s">
        <v>160</v>
      </c>
      <c r="AR878" s="35" t="s">
        <v>147</v>
      </c>
      <c r="AS878" s="35">
        <v>2</v>
      </c>
      <c r="AT878" s="35">
        <v>2</v>
      </c>
      <c r="AU878" s="35" t="s">
        <v>169</v>
      </c>
      <c r="AY878" s="63"/>
      <c r="DC878" s="35">
        <v>0.01</v>
      </c>
      <c r="DD878" s="35">
        <v>0.04</v>
      </c>
      <c r="DE878" s="35" t="s">
        <v>1867</v>
      </c>
      <c r="FR878" s="35" t="s">
        <v>824</v>
      </c>
      <c r="FT878" s="35">
        <v>41</v>
      </c>
    </row>
    <row r="879" spans="1:176" s="35" customFormat="1" x14ac:dyDescent="0.25">
      <c r="A879" s="35">
        <v>41</v>
      </c>
      <c r="B879" s="35" t="s">
        <v>680</v>
      </c>
      <c r="C879" s="35" t="s">
        <v>681</v>
      </c>
      <c r="D879" s="35">
        <v>1994</v>
      </c>
      <c r="E879" s="35">
        <v>1989</v>
      </c>
      <c r="F879" s="35" t="s">
        <v>498</v>
      </c>
      <c r="G879" s="35" t="s">
        <v>683</v>
      </c>
      <c r="H879" s="35">
        <v>38.03</v>
      </c>
      <c r="I879" s="35">
        <v>-84.51</v>
      </c>
      <c r="J879" s="35">
        <v>299.60000000000002</v>
      </c>
      <c r="P879" s="54">
        <v>5</v>
      </c>
      <c r="Q879" s="54"/>
      <c r="R879" s="54" t="s">
        <v>689</v>
      </c>
      <c r="S879" s="54" t="s">
        <v>1555</v>
      </c>
      <c r="T879" s="54" t="s">
        <v>1555</v>
      </c>
      <c r="U879" s="54" t="s">
        <v>1555</v>
      </c>
      <c r="V879" s="54" t="s">
        <v>1903</v>
      </c>
      <c r="W879" s="35">
        <v>1.05</v>
      </c>
      <c r="X879" s="35">
        <v>7.3</v>
      </c>
      <c r="Y879" s="35">
        <v>70.2</v>
      </c>
      <c r="Z879" s="35" t="s">
        <v>531</v>
      </c>
      <c r="AA879" s="35">
        <v>5.48</v>
      </c>
      <c r="AB879" s="35">
        <v>1.1599999999999999</v>
      </c>
      <c r="AD879" s="35" t="s">
        <v>1499</v>
      </c>
      <c r="AE879" s="35" t="s">
        <v>281</v>
      </c>
      <c r="AF879" s="152" t="s">
        <v>666</v>
      </c>
      <c r="AG879" s="35" t="s">
        <v>160</v>
      </c>
      <c r="AH879" s="154" t="s">
        <v>160</v>
      </c>
      <c r="AR879" s="35" t="s">
        <v>147</v>
      </c>
      <c r="AS879" s="35">
        <v>2</v>
      </c>
      <c r="AT879" s="35">
        <v>2</v>
      </c>
      <c r="AU879" s="35" t="s">
        <v>169</v>
      </c>
      <c r="AY879" s="63"/>
      <c r="DC879" s="35">
        <v>2.7E-2</v>
      </c>
      <c r="DD879" s="35">
        <v>0.01</v>
      </c>
      <c r="DE879" s="35" t="s">
        <v>1867</v>
      </c>
      <c r="FR879" s="35" t="s">
        <v>824</v>
      </c>
      <c r="FT879" s="35">
        <v>41</v>
      </c>
    </row>
    <row r="880" spans="1:176" s="35" customFormat="1" x14ac:dyDescent="0.25">
      <c r="A880" s="35">
        <v>41</v>
      </c>
      <c r="B880" s="35" t="s">
        <v>680</v>
      </c>
      <c r="C880" s="35" t="s">
        <v>681</v>
      </c>
      <c r="D880" s="35">
        <v>1994</v>
      </c>
      <c r="E880" s="35">
        <v>1989</v>
      </c>
      <c r="F880" s="35" t="s">
        <v>498</v>
      </c>
      <c r="G880" s="35" t="s">
        <v>683</v>
      </c>
      <c r="H880" s="35">
        <v>38.03</v>
      </c>
      <c r="I880" s="35">
        <v>-84.51</v>
      </c>
      <c r="J880" s="35">
        <v>299.60000000000002</v>
      </c>
      <c r="P880" s="54">
        <v>5</v>
      </c>
      <c r="Q880" s="54"/>
      <c r="R880" s="54" t="s">
        <v>239</v>
      </c>
      <c r="S880" s="54" t="s">
        <v>1555</v>
      </c>
      <c r="T880" s="54" t="s">
        <v>1555</v>
      </c>
      <c r="U880" s="54" t="s">
        <v>1555</v>
      </c>
      <c r="V880" s="54" t="s">
        <v>1903</v>
      </c>
      <c r="W880" s="35">
        <v>1.05</v>
      </c>
      <c r="X880" s="35">
        <v>7.3</v>
      </c>
      <c r="Y880" s="35">
        <v>70.2</v>
      </c>
      <c r="Z880" s="35" t="s">
        <v>531</v>
      </c>
      <c r="AA880" s="35">
        <v>5.48</v>
      </c>
      <c r="AB880" s="35">
        <v>1.1599999999999999</v>
      </c>
      <c r="AD880" s="35" t="s">
        <v>1499</v>
      </c>
      <c r="AE880" s="35" t="s">
        <v>281</v>
      </c>
      <c r="AF880" s="152" t="s">
        <v>666</v>
      </c>
      <c r="AG880" s="35" t="s">
        <v>160</v>
      </c>
      <c r="AH880" s="154" t="s">
        <v>160</v>
      </c>
      <c r="AR880" s="35" t="s">
        <v>147</v>
      </c>
      <c r="AS880" s="35">
        <v>2</v>
      </c>
      <c r="AT880" s="35">
        <v>2</v>
      </c>
      <c r="AU880" s="35" t="s">
        <v>169</v>
      </c>
      <c r="AY880" s="63"/>
      <c r="DC880" s="35">
        <v>5.0999999999999997E-2</v>
      </c>
      <c r="DD880" s="35">
        <v>0.01</v>
      </c>
      <c r="DE880" s="35" t="s">
        <v>1867</v>
      </c>
      <c r="FR880" s="35" t="s">
        <v>824</v>
      </c>
      <c r="FT880" s="35">
        <v>41</v>
      </c>
    </row>
    <row r="881" spans="1:176" s="35" customFormat="1" x14ac:dyDescent="0.25">
      <c r="A881" s="35">
        <v>41</v>
      </c>
      <c r="B881" s="35" t="s">
        <v>680</v>
      </c>
      <c r="C881" s="35" t="s">
        <v>681</v>
      </c>
      <c r="D881" s="35">
        <v>1994</v>
      </c>
      <c r="E881" s="35">
        <v>1989</v>
      </c>
      <c r="F881" s="35" t="s">
        <v>498</v>
      </c>
      <c r="G881" s="35" t="s">
        <v>683</v>
      </c>
      <c r="H881" s="35">
        <v>38.03</v>
      </c>
      <c r="I881" s="35">
        <v>-84.51</v>
      </c>
      <c r="J881" s="35">
        <v>299.60000000000002</v>
      </c>
      <c r="P881" s="54">
        <v>5</v>
      </c>
      <c r="Q881" s="54"/>
      <c r="R881" s="54" t="s">
        <v>685</v>
      </c>
      <c r="S881" s="54" t="s">
        <v>1555</v>
      </c>
      <c r="T881" s="54" t="s">
        <v>1555</v>
      </c>
      <c r="U881" s="54" t="s">
        <v>1555</v>
      </c>
      <c r="V881" s="54" t="s">
        <v>1903</v>
      </c>
      <c r="W881" s="35">
        <v>1.05</v>
      </c>
      <c r="X881" s="35">
        <v>7.3</v>
      </c>
      <c r="Y881" s="35">
        <v>70.2</v>
      </c>
      <c r="Z881" s="35" t="s">
        <v>531</v>
      </c>
      <c r="AA881" s="35">
        <v>5.48</v>
      </c>
      <c r="AB881" s="35">
        <v>1.1599999999999999</v>
      </c>
      <c r="AD881" s="35" t="s">
        <v>1499</v>
      </c>
      <c r="AE881" s="35" t="s">
        <v>281</v>
      </c>
      <c r="AF881" s="152" t="s">
        <v>666</v>
      </c>
      <c r="AG881" s="35" t="s">
        <v>160</v>
      </c>
      <c r="AH881" s="154" t="s">
        <v>160</v>
      </c>
      <c r="AR881" s="35" t="s">
        <v>147</v>
      </c>
      <c r="AS881" s="35">
        <v>2</v>
      </c>
      <c r="AT881" s="35">
        <v>2</v>
      </c>
      <c r="AU881" s="35" t="s">
        <v>169</v>
      </c>
      <c r="AY881" s="63"/>
      <c r="DC881" s="35">
        <v>8.4000000000000005E-2</v>
      </c>
      <c r="DD881" s="35">
        <v>0.02</v>
      </c>
      <c r="DE881" s="35" t="s">
        <v>1867</v>
      </c>
      <c r="FR881" s="35" t="s">
        <v>824</v>
      </c>
      <c r="FT881" s="35">
        <v>41</v>
      </c>
    </row>
    <row r="882" spans="1:176" s="35" customFormat="1" x14ac:dyDescent="0.25">
      <c r="A882" s="35">
        <v>41</v>
      </c>
      <c r="B882" s="35" t="s">
        <v>680</v>
      </c>
      <c r="C882" s="35" t="s">
        <v>681</v>
      </c>
      <c r="D882" s="35">
        <v>1994</v>
      </c>
      <c r="E882" s="35">
        <v>1989</v>
      </c>
      <c r="F882" s="35" t="s">
        <v>498</v>
      </c>
      <c r="G882" s="35" t="s">
        <v>683</v>
      </c>
      <c r="H882" s="35">
        <v>38.03</v>
      </c>
      <c r="I882" s="35">
        <v>-84.51</v>
      </c>
      <c r="J882" s="35">
        <v>299.60000000000002</v>
      </c>
      <c r="P882" s="54">
        <v>5</v>
      </c>
      <c r="Q882" s="54"/>
      <c r="R882" s="54" t="s">
        <v>264</v>
      </c>
      <c r="S882" s="54" t="s">
        <v>1555</v>
      </c>
      <c r="T882" s="54" t="s">
        <v>1555</v>
      </c>
      <c r="U882" s="54" t="s">
        <v>1555</v>
      </c>
      <c r="V882" s="54" t="s">
        <v>1903</v>
      </c>
      <c r="W882" s="35">
        <v>1.05</v>
      </c>
      <c r="X882" s="35">
        <v>7.3</v>
      </c>
      <c r="Y882" s="35">
        <v>70.2</v>
      </c>
      <c r="Z882" s="35" t="s">
        <v>531</v>
      </c>
      <c r="AA882" s="35">
        <v>5.48</v>
      </c>
      <c r="AB882" s="35">
        <v>1.1599999999999999</v>
      </c>
      <c r="AD882" s="35" t="s">
        <v>1499</v>
      </c>
      <c r="AE882" s="35" t="s">
        <v>281</v>
      </c>
      <c r="AF882" s="152" t="s">
        <v>666</v>
      </c>
      <c r="AG882" s="35" t="s">
        <v>160</v>
      </c>
      <c r="AH882" s="154" t="s">
        <v>160</v>
      </c>
      <c r="AR882" s="35" t="s">
        <v>147</v>
      </c>
      <c r="AS882" s="35">
        <v>2</v>
      </c>
      <c r="AT882" s="35">
        <v>2</v>
      </c>
      <c r="AU882" s="35" t="s">
        <v>169</v>
      </c>
      <c r="AY882" s="63"/>
      <c r="DC882" s="35">
        <v>9.8000000000000004E-2</v>
      </c>
      <c r="DD882" s="35">
        <v>0.02</v>
      </c>
      <c r="DE882" s="35" t="s">
        <v>1867</v>
      </c>
      <c r="FR882" s="35" t="s">
        <v>824</v>
      </c>
      <c r="FT882" s="35">
        <v>41</v>
      </c>
    </row>
    <row r="883" spans="1:176" s="5" customFormat="1" x14ac:dyDescent="0.25">
      <c r="A883" s="5">
        <v>42</v>
      </c>
      <c r="B883" s="5" t="s">
        <v>693</v>
      </c>
      <c r="C883" s="5" t="s">
        <v>694</v>
      </c>
      <c r="D883" s="5">
        <v>1989</v>
      </c>
      <c r="E883" s="5">
        <v>1988</v>
      </c>
      <c r="F883" s="5" t="s">
        <v>498</v>
      </c>
      <c r="G883" s="5" t="s">
        <v>696</v>
      </c>
      <c r="H883" s="49">
        <v>34.137</v>
      </c>
      <c r="I883" s="5">
        <v>-85.09</v>
      </c>
      <c r="J883" s="5">
        <v>223.8</v>
      </c>
      <c r="P883" s="62">
        <v>3</v>
      </c>
      <c r="Q883" s="62"/>
      <c r="R883" s="62"/>
      <c r="S883" s="62" t="s">
        <v>1570</v>
      </c>
      <c r="T883" s="62" t="s">
        <v>1570</v>
      </c>
      <c r="U883" s="62" t="s">
        <v>1555</v>
      </c>
      <c r="V883" s="62" t="s">
        <v>1910</v>
      </c>
      <c r="Z883" s="5" t="s">
        <v>764</v>
      </c>
      <c r="AB883" s="5">
        <f>(1.01+0.87+0.79)/3</f>
        <v>0.89</v>
      </c>
      <c r="AD883" s="5" t="s">
        <v>1487</v>
      </c>
      <c r="AE883" s="5" t="s">
        <v>144</v>
      </c>
      <c r="AF883" s="152" t="s">
        <v>1761</v>
      </c>
      <c r="AG883" s="5" t="s">
        <v>160</v>
      </c>
      <c r="AH883" s="155" t="s">
        <v>160</v>
      </c>
      <c r="AR883" s="5" t="s">
        <v>147</v>
      </c>
      <c r="AS883" s="5">
        <v>4</v>
      </c>
      <c r="AT883" s="5">
        <v>4</v>
      </c>
      <c r="AU883" s="5" t="s">
        <v>379</v>
      </c>
      <c r="AW883" s="5">
        <v>1775</v>
      </c>
      <c r="AX883" s="5">
        <f>AW883/32</f>
        <v>55.46875</v>
      </c>
      <c r="AY883" s="64"/>
      <c r="BJ883" s="5">
        <v>1.01</v>
      </c>
      <c r="BK883" s="5">
        <v>1.18</v>
      </c>
      <c r="BL883" s="5" t="s">
        <v>195</v>
      </c>
      <c r="BM883" s="5">
        <v>1300</v>
      </c>
      <c r="BN883" s="5">
        <v>1400</v>
      </c>
      <c r="BO883" s="5" t="s">
        <v>1861</v>
      </c>
      <c r="BY883" s="5">
        <v>99999</v>
      </c>
      <c r="BZ883" s="5">
        <v>99999</v>
      </c>
      <c r="CA883" s="5" t="s">
        <v>1321</v>
      </c>
      <c r="CH883" s="5">
        <v>56.3</v>
      </c>
      <c r="CI883" s="5">
        <v>65.099999999999994</v>
      </c>
      <c r="CJ883" s="5" t="s">
        <v>698</v>
      </c>
      <c r="EJ883" s="46"/>
      <c r="EL883" s="46"/>
      <c r="FN883" s="5">
        <v>99999</v>
      </c>
      <c r="FR883" s="5" t="s">
        <v>701</v>
      </c>
      <c r="FT883" s="5">
        <v>42</v>
      </c>
    </row>
    <row r="884" spans="1:176" s="5" customFormat="1" x14ac:dyDescent="0.25">
      <c r="A884" s="5">
        <v>42</v>
      </c>
      <c r="B884" s="5" t="s">
        <v>693</v>
      </c>
      <c r="C884" s="5" t="s">
        <v>694</v>
      </c>
      <c r="D884" s="5">
        <v>1989</v>
      </c>
      <c r="E884" s="5">
        <v>1988</v>
      </c>
      <c r="F884" s="5" t="s">
        <v>498</v>
      </c>
      <c r="G884" s="5" t="s">
        <v>696</v>
      </c>
      <c r="H884" s="49">
        <v>34.137</v>
      </c>
      <c r="I884" s="5">
        <v>-85.09</v>
      </c>
      <c r="J884" s="5">
        <v>223.8</v>
      </c>
      <c r="P884" s="62">
        <v>3</v>
      </c>
      <c r="Q884" s="62"/>
      <c r="R884" s="62"/>
      <c r="S884" s="62" t="s">
        <v>1570</v>
      </c>
      <c r="T884" s="62" t="s">
        <v>1570</v>
      </c>
      <c r="U884" s="62" t="s">
        <v>1555</v>
      </c>
      <c r="V884" s="62" t="s">
        <v>1910</v>
      </c>
      <c r="Z884" s="5" t="s">
        <v>764</v>
      </c>
      <c r="AB884" s="5">
        <f t="shared" ref="AB884:AB891" si="212">(1.01+0.87+0.79)/3</f>
        <v>0.89</v>
      </c>
      <c r="AD884" s="5" t="s">
        <v>1487</v>
      </c>
      <c r="AE884" s="5" t="s">
        <v>1701</v>
      </c>
      <c r="AF884" s="152" t="s">
        <v>666</v>
      </c>
      <c r="AG884" s="5" t="s">
        <v>160</v>
      </c>
      <c r="AH884" s="155" t="s">
        <v>160</v>
      </c>
      <c r="AR884" s="5" t="s">
        <v>147</v>
      </c>
      <c r="AS884" s="5">
        <v>4</v>
      </c>
      <c r="AT884" s="5">
        <v>4</v>
      </c>
      <c r="AU884" s="5" t="s">
        <v>379</v>
      </c>
      <c r="AW884" s="5">
        <v>3544</v>
      </c>
      <c r="AX884" s="5">
        <f>AW884/108</f>
        <v>32.814814814814817</v>
      </c>
      <c r="AY884" s="64"/>
      <c r="BJ884" s="5">
        <v>1.01</v>
      </c>
      <c r="BK884" s="5">
        <v>1.28</v>
      </c>
      <c r="BL884" s="5" t="s">
        <v>195</v>
      </c>
      <c r="BM884" s="5">
        <v>1300</v>
      </c>
      <c r="BN884" s="5">
        <v>1500</v>
      </c>
      <c r="BO884" s="5" t="s">
        <v>1861</v>
      </c>
      <c r="BY884" s="5">
        <v>99999</v>
      </c>
      <c r="BZ884" s="5">
        <v>99999</v>
      </c>
      <c r="CA884" s="5" t="s">
        <v>1321</v>
      </c>
      <c r="CH884" s="5">
        <v>56.3</v>
      </c>
      <c r="CI884" s="5">
        <v>55</v>
      </c>
      <c r="CJ884" s="5" t="s">
        <v>698</v>
      </c>
      <c r="EJ884" s="46"/>
      <c r="EL884" s="46"/>
      <c r="FN884" s="5">
        <v>99999</v>
      </c>
      <c r="FR884" s="5" t="s">
        <v>701</v>
      </c>
      <c r="FT884" s="5">
        <v>42</v>
      </c>
    </row>
    <row r="885" spans="1:176" s="5" customFormat="1" x14ac:dyDescent="0.25">
      <c r="A885" s="5">
        <v>42</v>
      </c>
      <c r="B885" s="5" t="s">
        <v>693</v>
      </c>
      <c r="C885" s="5" t="s">
        <v>694</v>
      </c>
      <c r="D885" s="5">
        <v>1989</v>
      </c>
      <c r="E885" s="5">
        <v>1988</v>
      </c>
      <c r="F885" s="5" t="s">
        <v>498</v>
      </c>
      <c r="G885" s="5" t="s">
        <v>696</v>
      </c>
      <c r="H885" s="49">
        <v>34.137</v>
      </c>
      <c r="I885" s="5">
        <v>-85.09</v>
      </c>
      <c r="J885" s="5">
        <v>223.8</v>
      </c>
      <c r="P885" s="62">
        <v>3</v>
      </c>
      <c r="Q885" s="62"/>
      <c r="R885" s="62"/>
      <c r="S885" s="62" t="s">
        <v>1570</v>
      </c>
      <c r="T885" s="62" t="s">
        <v>1570</v>
      </c>
      <c r="U885" s="62" t="s">
        <v>1555</v>
      </c>
      <c r="V885" s="62" t="s">
        <v>1910</v>
      </c>
      <c r="Z885" s="5" t="s">
        <v>764</v>
      </c>
      <c r="AB885" s="5">
        <f t="shared" si="212"/>
        <v>0.89</v>
      </c>
      <c r="AD885" s="5" t="s">
        <v>1487</v>
      </c>
      <c r="AE885" s="5" t="s">
        <v>281</v>
      </c>
      <c r="AF885" s="152" t="s">
        <v>666</v>
      </c>
      <c r="AG885" s="5" t="s">
        <v>160</v>
      </c>
      <c r="AH885" s="155" t="s">
        <v>160</v>
      </c>
      <c r="AR885" s="5" t="s">
        <v>147</v>
      </c>
      <c r="AS885" s="5">
        <v>4</v>
      </c>
      <c r="AT885" s="5">
        <v>4</v>
      </c>
      <c r="AU885" s="5" t="s">
        <v>379</v>
      </c>
      <c r="AW885" s="5">
        <v>3433</v>
      </c>
      <c r="AX885" s="5">
        <f>AW885/128</f>
        <v>26.8203125</v>
      </c>
      <c r="AY885" s="64"/>
      <c r="BJ885" s="5">
        <v>1.01</v>
      </c>
      <c r="BK885" s="5">
        <v>1.18</v>
      </c>
      <c r="BL885" s="5" t="s">
        <v>195</v>
      </c>
      <c r="BM885" s="5">
        <v>1300</v>
      </c>
      <c r="BN885" s="5">
        <v>1500</v>
      </c>
      <c r="BO885" s="5" t="s">
        <v>1861</v>
      </c>
      <c r="BY885" s="5">
        <v>99999</v>
      </c>
      <c r="BZ885" s="5">
        <v>99999</v>
      </c>
      <c r="CA885" s="5" t="s">
        <v>1321</v>
      </c>
      <c r="CH885" s="5">
        <v>56.3</v>
      </c>
      <c r="CI885" s="5">
        <v>58.2</v>
      </c>
      <c r="CJ885" s="5" t="s">
        <v>698</v>
      </c>
      <c r="CQ885" s="5">
        <v>23.4</v>
      </c>
      <c r="CR885" s="5">
        <v>38.799999999999997</v>
      </c>
      <c r="EJ885" s="46"/>
      <c r="EL885" s="46"/>
      <c r="FN885" s="5">
        <v>99999</v>
      </c>
      <c r="FR885" s="5" t="s">
        <v>701</v>
      </c>
      <c r="FT885" s="5">
        <v>42</v>
      </c>
    </row>
    <row r="886" spans="1:176" s="5" customFormat="1" x14ac:dyDescent="0.25">
      <c r="A886" s="5">
        <v>42</v>
      </c>
      <c r="B886" s="5" t="s">
        <v>693</v>
      </c>
      <c r="C886" s="5" t="s">
        <v>694</v>
      </c>
      <c r="D886" s="5">
        <v>1989</v>
      </c>
      <c r="E886" s="5">
        <v>1988</v>
      </c>
      <c r="F886" s="5" t="s">
        <v>498</v>
      </c>
      <c r="G886" s="5" t="s">
        <v>696</v>
      </c>
      <c r="H886" s="49">
        <v>34.137</v>
      </c>
      <c r="I886" s="5">
        <v>-85.09</v>
      </c>
      <c r="J886" s="5">
        <v>223.8</v>
      </c>
      <c r="P886" s="62">
        <v>3</v>
      </c>
      <c r="Q886" s="62"/>
      <c r="R886" s="62"/>
      <c r="S886" s="62" t="s">
        <v>1577</v>
      </c>
      <c r="T886" s="62" t="s">
        <v>1570</v>
      </c>
      <c r="U886" s="62" t="s">
        <v>1555</v>
      </c>
      <c r="V886" s="62" t="s">
        <v>1910</v>
      </c>
      <c r="Z886" s="5" t="s">
        <v>764</v>
      </c>
      <c r="AB886" s="5">
        <f t="shared" si="212"/>
        <v>0.89</v>
      </c>
      <c r="AD886" s="5" t="s">
        <v>1487</v>
      </c>
      <c r="AE886" s="5" t="s">
        <v>144</v>
      </c>
      <c r="AF886" s="152" t="s">
        <v>1761</v>
      </c>
      <c r="AG886" s="5" t="s">
        <v>160</v>
      </c>
      <c r="AH886" s="155" t="s">
        <v>160</v>
      </c>
      <c r="AR886" s="5" t="s">
        <v>147</v>
      </c>
      <c r="AS886" s="5">
        <v>4</v>
      </c>
      <c r="AT886" s="5">
        <v>4</v>
      </c>
      <c r="AU886" s="5" t="s">
        <v>379</v>
      </c>
      <c r="AW886" s="5">
        <v>1775</v>
      </c>
      <c r="AX886" s="5">
        <f>AW886/32</f>
        <v>55.46875</v>
      </c>
      <c r="AY886" s="64"/>
      <c r="BJ886" s="5">
        <v>0.87</v>
      </c>
      <c r="BK886" s="5">
        <v>0.95</v>
      </c>
      <c r="BL886" s="5" t="s">
        <v>195</v>
      </c>
      <c r="BM886" s="5">
        <v>1000</v>
      </c>
      <c r="BN886" s="5">
        <v>1200</v>
      </c>
      <c r="BO886" s="5" t="s">
        <v>1861</v>
      </c>
      <c r="BY886" s="5">
        <v>99999</v>
      </c>
      <c r="BZ886" s="5">
        <v>99999</v>
      </c>
      <c r="CA886" s="5" t="s">
        <v>1321</v>
      </c>
      <c r="EJ886" s="46"/>
      <c r="EL886" s="46"/>
      <c r="FN886" s="5">
        <v>99999</v>
      </c>
      <c r="FR886" s="5" t="s">
        <v>701</v>
      </c>
      <c r="FT886" s="5">
        <v>42</v>
      </c>
    </row>
    <row r="887" spans="1:176" s="5" customFormat="1" x14ac:dyDescent="0.25">
      <c r="A887" s="5">
        <v>42</v>
      </c>
      <c r="B887" s="5" t="s">
        <v>693</v>
      </c>
      <c r="C887" s="5" t="s">
        <v>694</v>
      </c>
      <c r="D887" s="5">
        <v>1989</v>
      </c>
      <c r="E887" s="5">
        <v>1988</v>
      </c>
      <c r="F887" s="5" t="s">
        <v>498</v>
      </c>
      <c r="G887" s="5" t="s">
        <v>696</v>
      </c>
      <c r="H887" s="49">
        <v>34.137</v>
      </c>
      <c r="I887" s="5">
        <v>-85.09</v>
      </c>
      <c r="J887" s="5">
        <v>223.8</v>
      </c>
      <c r="P887" s="62">
        <v>3</v>
      </c>
      <c r="Q887" s="62"/>
      <c r="R887" s="62"/>
      <c r="S887" s="62" t="s">
        <v>1577</v>
      </c>
      <c r="T887" s="62" t="s">
        <v>1570</v>
      </c>
      <c r="U887" s="62" t="s">
        <v>1555</v>
      </c>
      <c r="V887" s="62" t="s">
        <v>1910</v>
      </c>
      <c r="Z887" s="5" t="s">
        <v>764</v>
      </c>
      <c r="AB887" s="5">
        <f t="shared" si="212"/>
        <v>0.89</v>
      </c>
      <c r="AD887" s="5" t="s">
        <v>1487</v>
      </c>
      <c r="AE887" s="5" t="s">
        <v>1701</v>
      </c>
      <c r="AF887" s="152" t="s">
        <v>666</v>
      </c>
      <c r="AG887" s="5" t="s">
        <v>160</v>
      </c>
      <c r="AH887" s="155" t="s">
        <v>160</v>
      </c>
      <c r="AR887" s="5" t="s">
        <v>147</v>
      </c>
      <c r="AS887" s="5">
        <v>4</v>
      </c>
      <c r="AT887" s="5">
        <v>4</v>
      </c>
      <c r="AU887" s="5" t="s">
        <v>379</v>
      </c>
      <c r="AW887" s="5">
        <v>3544</v>
      </c>
      <c r="AX887" s="5">
        <f>AW887/108</f>
        <v>32.814814814814817</v>
      </c>
      <c r="AY887" s="64"/>
      <c r="BJ887" s="5">
        <v>0.87</v>
      </c>
      <c r="BK887" s="5">
        <v>1.03</v>
      </c>
      <c r="BL887" s="5" t="s">
        <v>195</v>
      </c>
      <c r="BM887" s="5">
        <v>1000</v>
      </c>
      <c r="BN887" s="5">
        <v>1200</v>
      </c>
      <c r="BO887" s="5" t="s">
        <v>1861</v>
      </c>
      <c r="BY887" s="5">
        <v>99999</v>
      </c>
      <c r="BZ887" s="5">
        <v>99999</v>
      </c>
      <c r="CA887" s="5" t="s">
        <v>1321</v>
      </c>
      <c r="EJ887" s="46"/>
      <c r="EL887" s="46"/>
      <c r="FN887" s="5">
        <v>99999</v>
      </c>
      <c r="FR887" s="5" t="s">
        <v>701</v>
      </c>
      <c r="FT887" s="5">
        <v>42</v>
      </c>
    </row>
    <row r="888" spans="1:176" s="5" customFormat="1" x14ac:dyDescent="0.25">
      <c r="A888" s="5">
        <v>42</v>
      </c>
      <c r="B888" s="5" t="s">
        <v>693</v>
      </c>
      <c r="C888" s="5" t="s">
        <v>694</v>
      </c>
      <c r="D888" s="5">
        <v>1989</v>
      </c>
      <c r="E888" s="5">
        <v>1988</v>
      </c>
      <c r="F888" s="5" t="s">
        <v>498</v>
      </c>
      <c r="G888" s="5" t="s">
        <v>696</v>
      </c>
      <c r="H888" s="49">
        <v>34.137</v>
      </c>
      <c r="I888" s="5">
        <v>-85.09</v>
      </c>
      <c r="J888" s="5">
        <v>223.8</v>
      </c>
      <c r="P888" s="62">
        <v>3</v>
      </c>
      <c r="Q888" s="62"/>
      <c r="R888" s="62"/>
      <c r="S888" s="62" t="s">
        <v>1577</v>
      </c>
      <c r="T888" s="62" t="s">
        <v>1570</v>
      </c>
      <c r="U888" s="62" t="s">
        <v>1555</v>
      </c>
      <c r="V888" s="62" t="s">
        <v>1910</v>
      </c>
      <c r="Z888" s="5" t="s">
        <v>764</v>
      </c>
      <c r="AB888" s="5">
        <f t="shared" si="212"/>
        <v>0.89</v>
      </c>
      <c r="AD888" s="5" t="s">
        <v>1487</v>
      </c>
      <c r="AE888" s="5" t="s">
        <v>281</v>
      </c>
      <c r="AF888" s="152" t="s">
        <v>666</v>
      </c>
      <c r="AG888" s="5" t="s">
        <v>160</v>
      </c>
      <c r="AH888" s="155" t="s">
        <v>160</v>
      </c>
      <c r="AR888" s="5" t="s">
        <v>147</v>
      </c>
      <c r="AS888" s="5">
        <v>4</v>
      </c>
      <c r="AT888" s="5">
        <v>4</v>
      </c>
      <c r="AU888" s="5" t="s">
        <v>379</v>
      </c>
      <c r="AW888" s="5">
        <v>3433</v>
      </c>
      <c r="AX888" s="5">
        <f>AW888/128</f>
        <v>26.8203125</v>
      </c>
      <c r="AY888" s="64"/>
      <c r="BJ888" s="5">
        <v>0.87</v>
      </c>
      <c r="BK888" s="5">
        <v>0.93</v>
      </c>
      <c r="BL888" s="5" t="s">
        <v>195</v>
      </c>
      <c r="BM888" s="5">
        <v>1000</v>
      </c>
      <c r="BN888" s="5">
        <v>1200</v>
      </c>
      <c r="BO888" s="5" t="s">
        <v>1861</v>
      </c>
      <c r="BY888" s="5">
        <v>99999</v>
      </c>
      <c r="BZ888" s="5">
        <v>99999</v>
      </c>
      <c r="CA888" s="5" t="s">
        <v>1321</v>
      </c>
      <c r="EJ888" s="46"/>
      <c r="EL888" s="46"/>
      <c r="FN888" s="5">
        <v>99999</v>
      </c>
      <c r="FR888" s="5" t="s">
        <v>701</v>
      </c>
      <c r="FT888" s="5">
        <v>42</v>
      </c>
    </row>
    <row r="889" spans="1:176" s="5" customFormat="1" x14ac:dyDescent="0.25">
      <c r="A889" s="5">
        <v>42</v>
      </c>
      <c r="B889" s="5" t="s">
        <v>693</v>
      </c>
      <c r="C889" s="5" t="s">
        <v>694</v>
      </c>
      <c r="D889" s="5">
        <v>1989</v>
      </c>
      <c r="E889" s="5">
        <v>1988</v>
      </c>
      <c r="F889" s="5" t="s">
        <v>498</v>
      </c>
      <c r="G889" s="5" t="s">
        <v>696</v>
      </c>
      <c r="H889" s="49">
        <v>34.137</v>
      </c>
      <c r="I889" s="5">
        <v>-85.09</v>
      </c>
      <c r="J889" s="5">
        <v>223.8</v>
      </c>
      <c r="P889" s="62">
        <v>3</v>
      </c>
      <c r="Q889" s="62"/>
      <c r="R889" s="62"/>
      <c r="S889" s="62" t="s">
        <v>1568</v>
      </c>
      <c r="T889" s="62" t="s">
        <v>1570</v>
      </c>
      <c r="U889" s="62" t="s">
        <v>1555</v>
      </c>
      <c r="V889" s="62" t="s">
        <v>1907</v>
      </c>
      <c r="Z889" s="5" t="s">
        <v>764</v>
      </c>
      <c r="AB889" s="5">
        <f t="shared" si="212"/>
        <v>0.89</v>
      </c>
      <c r="AD889" s="5" t="s">
        <v>1487</v>
      </c>
      <c r="AE889" s="5" t="s">
        <v>144</v>
      </c>
      <c r="AF889" s="152" t="s">
        <v>1761</v>
      </c>
      <c r="AG889" s="5" t="s">
        <v>160</v>
      </c>
      <c r="AH889" s="155" t="s">
        <v>160</v>
      </c>
      <c r="AR889" s="5" t="s">
        <v>147</v>
      </c>
      <c r="AS889" s="5">
        <v>4</v>
      </c>
      <c r="AT889" s="5">
        <v>4</v>
      </c>
      <c r="AU889" s="5" t="s">
        <v>379</v>
      </c>
      <c r="AW889" s="5">
        <v>1775</v>
      </c>
      <c r="AX889" s="5">
        <f>AW889/32</f>
        <v>55.46875</v>
      </c>
      <c r="AY889" s="64"/>
      <c r="BJ889" s="5">
        <v>0.79</v>
      </c>
      <c r="BK889" s="5">
        <v>0.93</v>
      </c>
      <c r="BL889" s="5" t="s">
        <v>195</v>
      </c>
      <c r="BM889" s="5">
        <v>1100</v>
      </c>
      <c r="BN889" s="5">
        <v>1100</v>
      </c>
      <c r="BO889" s="5" t="s">
        <v>1861</v>
      </c>
      <c r="BY889" s="5">
        <v>99999</v>
      </c>
      <c r="BZ889" s="5">
        <v>99999</v>
      </c>
      <c r="CA889" s="5" t="s">
        <v>1321</v>
      </c>
      <c r="EJ889" s="46"/>
      <c r="EL889" s="46"/>
      <c r="FN889" s="5">
        <v>99999</v>
      </c>
      <c r="FR889" s="5" t="s">
        <v>701</v>
      </c>
      <c r="FT889" s="5">
        <v>42</v>
      </c>
    </row>
    <row r="890" spans="1:176" s="5" customFormat="1" x14ac:dyDescent="0.25">
      <c r="A890" s="5">
        <v>42</v>
      </c>
      <c r="B890" s="5" t="s">
        <v>693</v>
      </c>
      <c r="C890" s="5" t="s">
        <v>694</v>
      </c>
      <c r="D890" s="5">
        <v>1989</v>
      </c>
      <c r="E890" s="5">
        <v>1988</v>
      </c>
      <c r="F890" s="5" t="s">
        <v>498</v>
      </c>
      <c r="G890" s="5" t="s">
        <v>696</v>
      </c>
      <c r="H890" s="49">
        <v>34.137</v>
      </c>
      <c r="I890" s="5">
        <v>-85.09</v>
      </c>
      <c r="J890" s="5">
        <v>223.8</v>
      </c>
      <c r="P890" s="62">
        <v>3</v>
      </c>
      <c r="Q890" s="62"/>
      <c r="R890" s="62"/>
      <c r="S890" s="62" t="s">
        <v>1568</v>
      </c>
      <c r="T890" s="62" t="s">
        <v>1570</v>
      </c>
      <c r="U890" s="62" t="s">
        <v>1555</v>
      </c>
      <c r="V890" s="62" t="s">
        <v>1907</v>
      </c>
      <c r="Z890" s="5" t="s">
        <v>764</v>
      </c>
      <c r="AB890" s="5">
        <f t="shared" si="212"/>
        <v>0.89</v>
      </c>
      <c r="AD890" s="5" t="s">
        <v>1487</v>
      </c>
      <c r="AE890" s="5" t="s">
        <v>1701</v>
      </c>
      <c r="AF890" s="152" t="s">
        <v>666</v>
      </c>
      <c r="AG890" s="5" t="s">
        <v>160</v>
      </c>
      <c r="AH890" s="155" t="s">
        <v>160</v>
      </c>
      <c r="AR890" s="5" t="s">
        <v>147</v>
      </c>
      <c r="AS890" s="5">
        <v>4</v>
      </c>
      <c r="AT890" s="5">
        <v>4</v>
      </c>
      <c r="AU890" s="5" t="s">
        <v>379</v>
      </c>
      <c r="AW890" s="5">
        <v>3544</v>
      </c>
      <c r="AX890" s="5">
        <f>AW890/108</f>
        <v>32.814814814814817</v>
      </c>
      <c r="AY890" s="64"/>
      <c r="BJ890" s="5">
        <v>0.79</v>
      </c>
      <c r="BK890" s="5">
        <v>1.01</v>
      </c>
      <c r="BL890" s="5" t="s">
        <v>195</v>
      </c>
      <c r="BM890" s="5">
        <v>1100</v>
      </c>
      <c r="BN890" s="5">
        <v>1200</v>
      </c>
      <c r="BO890" s="5" t="s">
        <v>1861</v>
      </c>
      <c r="BY890" s="5">
        <v>99999</v>
      </c>
      <c r="BZ890" s="5">
        <v>99999</v>
      </c>
      <c r="CA890" s="5" t="s">
        <v>1321</v>
      </c>
      <c r="EJ890" s="46"/>
      <c r="EL890" s="46"/>
      <c r="FN890" s="5">
        <v>99999</v>
      </c>
      <c r="FR890" s="5" t="s">
        <v>701</v>
      </c>
      <c r="FT890" s="5">
        <v>42</v>
      </c>
    </row>
    <row r="891" spans="1:176" s="5" customFormat="1" x14ac:dyDescent="0.25">
      <c r="A891" s="5">
        <v>42</v>
      </c>
      <c r="B891" s="5" t="s">
        <v>693</v>
      </c>
      <c r="C891" s="5" t="s">
        <v>694</v>
      </c>
      <c r="D891" s="5">
        <v>1989</v>
      </c>
      <c r="E891" s="5">
        <v>1988</v>
      </c>
      <c r="F891" s="5" t="s">
        <v>498</v>
      </c>
      <c r="G891" s="5" t="s">
        <v>696</v>
      </c>
      <c r="H891" s="49">
        <v>34.137</v>
      </c>
      <c r="I891" s="5">
        <v>-85.09</v>
      </c>
      <c r="J891" s="5">
        <v>223.8</v>
      </c>
      <c r="P891" s="62">
        <v>3</v>
      </c>
      <c r="Q891" s="62"/>
      <c r="R891" s="62"/>
      <c r="S891" s="62" t="s">
        <v>1568</v>
      </c>
      <c r="T891" s="62" t="s">
        <v>1570</v>
      </c>
      <c r="U891" s="62" t="s">
        <v>1555</v>
      </c>
      <c r="V891" s="62" t="s">
        <v>1907</v>
      </c>
      <c r="Z891" s="5" t="s">
        <v>764</v>
      </c>
      <c r="AB891" s="5">
        <f t="shared" si="212"/>
        <v>0.89</v>
      </c>
      <c r="AD891" s="5" t="s">
        <v>1487</v>
      </c>
      <c r="AE891" s="5" t="s">
        <v>281</v>
      </c>
      <c r="AF891" s="152" t="s">
        <v>666</v>
      </c>
      <c r="AG891" s="5" t="s">
        <v>160</v>
      </c>
      <c r="AH891" s="155" t="s">
        <v>160</v>
      </c>
      <c r="AR891" s="5" t="s">
        <v>147</v>
      </c>
      <c r="AS891" s="5">
        <v>4</v>
      </c>
      <c r="AT891" s="5">
        <v>4</v>
      </c>
      <c r="AU891" s="5" t="s">
        <v>379</v>
      </c>
      <c r="AW891" s="5">
        <v>3433</v>
      </c>
      <c r="AX891" s="5">
        <f>AW891/128</f>
        <v>26.8203125</v>
      </c>
      <c r="AY891" s="64"/>
      <c r="BJ891" s="5">
        <v>0.79</v>
      </c>
      <c r="BK891" s="5">
        <v>0.79</v>
      </c>
      <c r="BL891" s="5" t="s">
        <v>195</v>
      </c>
      <c r="BM891" s="5">
        <v>1100</v>
      </c>
      <c r="BN891" s="5">
        <v>1100</v>
      </c>
      <c r="BO891" s="5" t="s">
        <v>1861</v>
      </c>
      <c r="BY891" s="5">
        <v>99999</v>
      </c>
      <c r="BZ891" s="5">
        <v>99999</v>
      </c>
      <c r="CA891" s="5" t="s">
        <v>1321</v>
      </c>
      <c r="EJ891" s="46"/>
      <c r="EL891" s="46"/>
      <c r="FN891" s="5">
        <v>99999</v>
      </c>
      <c r="FR891" s="5" t="s">
        <v>701</v>
      </c>
      <c r="FT891" s="5">
        <v>42</v>
      </c>
    </row>
    <row r="892" spans="1:176" s="31" customFormat="1" x14ac:dyDescent="0.25">
      <c r="A892" s="31">
        <v>42</v>
      </c>
      <c r="B892" s="31" t="s">
        <v>693</v>
      </c>
      <c r="C892" s="31" t="s">
        <v>694</v>
      </c>
      <c r="D892" s="31">
        <v>1989</v>
      </c>
      <c r="E892" s="31">
        <v>1988</v>
      </c>
      <c r="F892" s="31" t="s">
        <v>498</v>
      </c>
      <c r="G892" s="31" t="s">
        <v>697</v>
      </c>
      <c r="H892" s="50">
        <v>31.62</v>
      </c>
      <c r="I892" s="31">
        <v>-81.91</v>
      </c>
      <c r="J892" s="31">
        <v>33.700000000000003</v>
      </c>
      <c r="P892" s="56">
        <v>3</v>
      </c>
      <c r="Q892" s="56"/>
      <c r="R892" s="56"/>
      <c r="S892" s="56" t="s">
        <v>1570</v>
      </c>
      <c r="T892" s="56" t="s">
        <v>1570</v>
      </c>
      <c r="U892" s="56" t="s">
        <v>1555</v>
      </c>
      <c r="V892" s="56" t="s">
        <v>1910</v>
      </c>
      <c r="Z892" s="31" t="s">
        <v>604</v>
      </c>
      <c r="AA892" s="31">
        <v>5.5</v>
      </c>
      <c r="AB892" s="31">
        <v>0.72</v>
      </c>
      <c r="AD892" s="31" t="s">
        <v>1487</v>
      </c>
      <c r="AE892" s="31" t="s">
        <v>144</v>
      </c>
      <c r="AF892" s="152" t="s">
        <v>1761</v>
      </c>
      <c r="AG892" s="31" t="s">
        <v>258</v>
      </c>
      <c r="AH892" s="155" t="s">
        <v>258</v>
      </c>
      <c r="AR892" s="31" t="s">
        <v>147</v>
      </c>
      <c r="AS892" s="31">
        <v>4</v>
      </c>
      <c r="AT892" s="31">
        <v>4</v>
      </c>
      <c r="AU892" s="31" t="s">
        <v>379</v>
      </c>
      <c r="AW892" s="31">
        <v>1775</v>
      </c>
      <c r="AX892" s="31">
        <v>55.46875</v>
      </c>
      <c r="AY892" s="64"/>
      <c r="BJ892" s="31">
        <f>8.5/10</f>
        <v>0.85</v>
      </c>
      <c r="BK892" s="31">
        <v>0.89</v>
      </c>
      <c r="BL892" s="31" t="s">
        <v>195</v>
      </c>
      <c r="BM892" s="31">
        <f>1000</f>
        <v>1000</v>
      </c>
      <c r="BN892" s="31">
        <f>1100</f>
        <v>1100</v>
      </c>
      <c r="BO892" s="31" t="s">
        <v>1861</v>
      </c>
      <c r="BP892" s="31">
        <v>21</v>
      </c>
      <c r="BQ892" s="31">
        <v>20.3</v>
      </c>
      <c r="BV892" s="31">
        <v>5</v>
      </c>
      <c r="BW892" s="31">
        <v>5</v>
      </c>
      <c r="BY892" s="31">
        <v>99999</v>
      </c>
      <c r="BZ892" s="31">
        <v>99999</v>
      </c>
      <c r="CA892" s="31" t="s">
        <v>1321</v>
      </c>
      <c r="CH892" s="31">
        <v>28.9</v>
      </c>
      <c r="CI892" s="31">
        <v>32.6</v>
      </c>
      <c r="CJ892" s="31" t="s">
        <v>698</v>
      </c>
      <c r="CQ892" s="31">
        <v>37.799999999999997</v>
      </c>
      <c r="CR892" s="31">
        <v>42.3</v>
      </c>
      <c r="FN892" s="31">
        <v>99999</v>
      </c>
      <c r="FR892" s="31" t="s">
        <v>701</v>
      </c>
      <c r="FT892" s="31">
        <v>42</v>
      </c>
    </row>
    <row r="893" spans="1:176" s="31" customFormat="1" x14ac:dyDescent="0.25">
      <c r="A893" s="31">
        <v>42</v>
      </c>
      <c r="B893" s="31" t="s">
        <v>693</v>
      </c>
      <c r="C893" s="31" t="s">
        <v>694</v>
      </c>
      <c r="D893" s="31">
        <v>1989</v>
      </c>
      <c r="E893" s="31">
        <v>1988</v>
      </c>
      <c r="F893" s="31" t="s">
        <v>498</v>
      </c>
      <c r="G893" s="31" t="s">
        <v>697</v>
      </c>
      <c r="H893" s="50">
        <v>31.62</v>
      </c>
      <c r="I893" s="31">
        <v>-81.91</v>
      </c>
      <c r="J893" s="31">
        <v>33.700000000000003</v>
      </c>
      <c r="P893" s="56">
        <v>3</v>
      </c>
      <c r="Q893" s="56"/>
      <c r="R893" s="56"/>
      <c r="S893" s="56" t="s">
        <v>1570</v>
      </c>
      <c r="T893" s="56" t="s">
        <v>1570</v>
      </c>
      <c r="U893" s="56" t="s">
        <v>1555</v>
      </c>
      <c r="V893" s="56" t="s">
        <v>1910</v>
      </c>
      <c r="Z893" s="31" t="s">
        <v>604</v>
      </c>
      <c r="AA893" s="31">
        <v>5.5</v>
      </c>
      <c r="AB893" s="31">
        <v>0.72</v>
      </c>
      <c r="AD893" s="31" t="s">
        <v>1487</v>
      </c>
      <c r="AE893" s="31" t="s">
        <v>1701</v>
      </c>
      <c r="AF893" s="152" t="s">
        <v>666</v>
      </c>
      <c r="AG893" s="31" t="s">
        <v>258</v>
      </c>
      <c r="AH893" s="155" t="s">
        <v>258</v>
      </c>
      <c r="AR893" s="31" t="s">
        <v>147</v>
      </c>
      <c r="AS893" s="31">
        <v>4</v>
      </c>
      <c r="AT893" s="31">
        <v>4</v>
      </c>
      <c r="AU893" s="31" t="s">
        <v>379</v>
      </c>
      <c r="AW893" s="31">
        <v>3544</v>
      </c>
      <c r="AX893" s="31">
        <v>32.814814814814817</v>
      </c>
      <c r="AY893" s="64"/>
      <c r="BJ893" s="31">
        <f t="shared" ref="BJ893:BJ894" si="213">8.5/10</f>
        <v>0.85</v>
      </c>
      <c r="BK893" s="31">
        <v>1.06</v>
      </c>
      <c r="BL893" s="31" t="s">
        <v>195</v>
      </c>
      <c r="BM893" s="31">
        <f>1000</f>
        <v>1000</v>
      </c>
      <c r="BN893" s="31">
        <v>1300</v>
      </c>
      <c r="BO893" s="31" t="s">
        <v>1861</v>
      </c>
      <c r="BP893" s="31">
        <v>21</v>
      </c>
      <c r="BQ893" s="31">
        <v>14.5</v>
      </c>
      <c r="BV893" s="31">
        <v>5</v>
      </c>
      <c r="BW893" s="31">
        <v>4.9000000000000004</v>
      </c>
      <c r="BY893" s="31">
        <v>99999</v>
      </c>
      <c r="BZ893" s="31">
        <v>99999</v>
      </c>
      <c r="CA893" s="31" t="s">
        <v>1321</v>
      </c>
      <c r="CH893" s="31">
        <v>28.9</v>
      </c>
      <c r="CI893" s="31">
        <v>37.9</v>
      </c>
      <c r="CJ893" s="31" t="s">
        <v>698</v>
      </c>
      <c r="FN893" s="31">
        <v>99999</v>
      </c>
      <c r="FR893" s="31" t="s">
        <v>701</v>
      </c>
      <c r="FT893" s="31">
        <v>42</v>
      </c>
    </row>
    <row r="894" spans="1:176" s="31" customFormat="1" x14ac:dyDescent="0.25">
      <c r="A894" s="31">
        <v>42</v>
      </c>
      <c r="B894" s="31" t="s">
        <v>693</v>
      </c>
      <c r="C894" s="31" t="s">
        <v>694</v>
      </c>
      <c r="D894" s="31">
        <v>1989</v>
      </c>
      <c r="E894" s="31">
        <v>1988</v>
      </c>
      <c r="F894" s="31" t="s">
        <v>498</v>
      </c>
      <c r="G894" s="31" t="s">
        <v>697</v>
      </c>
      <c r="H894" s="50">
        <v>31.62</v>
      </c>
      <c r="I894" s="31">
        <v>-81.91</v>
      </c>
      <c r="J894" s="31">
        <v>33.700000000000003</v>
      </c>
      <c r="P894" s="56">
        <v>3</v>
      </c>
      <c r="Q894" s="56"/>
      <c r="R894" s="56"/>
      <c r="S894" s="56" t="s">
        <v>1570</v>
      </c>
      <c r="T894" s="56" t="s">
        <v>1570</v>
      </c>
      <c r="U894" s="56" t="s">
        <v>1555</v>
      </c>
      <c r="V894" s="56" t="s">
        <v>1910</v>
      </c>
      <c r="Z894" s="31" t="s">
        <v>604</v>
      </c>
      <c r="AA894" s="31">
        <v>5.5</v>
      </c>
      <c r="AB894" s="31">
        <v>0.72</v>
      </c>
      <c r="AD894" s="31" t="s">
        <v>1487</v>
      </c>
      <c r="AE894" s="31" t="s">
        <v>281</v>
      </c>
      <c r="AF894" s="152" t="s">
        <v>666</v>
      </c>
      <c r="AG894" s="31" t="s">
        <v>258</v>
      </c>
      <c r="AH894" s="155" t="s">
        <v>258</v>
      </c>
      <c r="AR894" s="31" t="s">
        <v>147</v>
      </c>
      <c r="AS894" s="31">
        <v>4</v>
      </c>
      <c r="AT894" s="31">
        <v>4</v>
      </c>
      <c r="AU894" s="31" t="s">
        <v>379</v>
      </c>
      <c r="AW894" s="31">
        <v>3433</v>
      </c>
      <c r="AX894" s="31">
        <v>26.8203125</v>
      </c>
      <c r="AY894" s="64"/>
      <c r="BJ894" s="31">
        <f t="shared" si="213"/>
        <v>0.85</v>
      </c>
      <c r="BK894" s="31">
        <v>1.02</v>
      </c>
      <c r="BL894" s="31" t="s">
        <v>195</v>
      </c>
      <c r="BM894" s="31">
        <f>1000</f>
        <v>1000</v>
      </c>
      <c r="BN894" s="31">
        <v>1300</v>
      </c>
      <c r="BO894" s="31" t="s">
        <v>1861</v>
      </c>
      <c r="BP894" s="31">
        <v>21</v>
      </c>
      <c r="BQ894" s="31">
        <v>18.8</v>
      </c>
      <c r="BV894" s="31">
        <v>5</v>
      </c>
      <c r="BW894" s="31">
        <v>4.8</v>
      </c>
      <c r="BY894" s="31">
        <v>99999</v>
      </c>
      <c r="BZ894" s="31">
        <v>99999</v>
      </c>
      <c r="CA894" s="31" t="s">
        <v>1321</v>
      </c>
      <c r="CH894" s="31">
        <v>28.9</v>
      </c>
      <c r="CI894" s="31">
        <v>36.700000000000003</v>
      </c>
      <c r="CJ894" s="31" t="s">
        <v>698</v>
      </c>
      <c r="CQ894" s="31">
        <v>37.799999999999997</v>
      </c>
      <c r="CR894" s="31">
        <v>58.4</v>
      </c>
      <c r="FN894" s="31">
        <v>99999</v>
      </c>
      <c r="FR894" s="31" t="s">
        <v>701</v>
      </c>
      <c r="FT894" s="31">
        <v>42</v>
      </c>
    </row>
    <row r="895" spans="1:176" s="31" customFormat="1" x14ac:dyDescent="0.25">
      <c r="A895" s="31">
        <v>42</v>
      </c>
      <c r="B895" s="31" t="s">
        <v>693</v>
      </c>
      <c r="C895" s="31" t="s">
        <v>694</v>
      </c>
      <c r="D895" s="31">
        <v>1989</v>
      </c>
      <c r="E895" s="31">
        <v>1988</v>
      </c>
      <c r="F895" s="31" t="s">
        <v>498</v>
      </c>
      <c r="G895" s="31" t="s">
        <v>697</v>
      </c>
      <c r="H895" s="50">
        <v>31.62</v>
      </c>
      <c r="I895" s="31">
        <v>-81.91</v>
      </c>
      <c r="J895" s="31">
        <v>33.700000000000003</v>
      </c>
      <c r="P895" s="56">
        <v>3</v>
      </c>
      <c r="Q895" s="56"/>
      <c r="R895" s="56"/>
      <c r="S895" s="56" t="s">
        <v>1577</v>
      </c>
      <c r="T895" s="56" t="s">
        <v>1570</v>
      </c>
      <c r="U895" s="56" t="s">
        <v>1555</v>
      </c>
      <c r="V895" s="56" t="s">
        <v>1910</v>
      </c>
      <c r="Z895" s="31" t="s">
        <v>604</v>
      </c>
      <c r="AA895" s="31">
        <v>5.5</v>
      </c>
      <c r="AB895" s="31">
        <v>0.72</v>
      </c>
      <c r="AD895" s="31" t="s">
        <v>1487</v>
      </c>
      <c r="AE895" s="31" t="s">
        <v>144</v>
      </c>
      <c r="AF895" s="152" t="s">
        <v>1761</v>
      </c>
      <c r="AG895" s="31" t="s">
        <v>258</v>
      </c>
      <c r="AH895" s="155" t="s">
        <v>258</v>
      </c>
      <c r="AR895" s="31" t="s">
        <v>147</v>
      </c>
      <c r="AS895" s="31">
        <v>4</v>
      </c>
      <c r="AT895" s="31">
        <v>4</v>
      </c>
      <c r="AU895" s="31" t="s">
        <v>379</v>
      </c>
      <c r="AW895" s="31">
        <v>1775</v>
      </c>
      <c r="AX895" s="31">
        <v>55.46875</v>
      </c>
      <c r="AY895" s="64"/>
      <c r="BJ895" s="31">
        <f>0.72</f>
        <v>0.72</v>
      </c>
      <c r="BK895" s="31">
        <v>0.73</v>
      </c>
      <c r="BL895" s="31" t="s">
        <v>195</v>
      </c>
      <c r="BM895" s="31">
        <v>900</v>
      </c>
      <c r="BN895" s="31">
        <v>1000</v>
      </c>
      <c r="BO895" s="31" t="s">
        <v>1861</v>
      </c>
      <c r="BP895" s="31">
        <v>18</v>
      </c>
      <c r="BQ895" s="31">
        <v>14.7</v>
      </c>
      <c r="BV895" s="31">
        <v>5.6</v>
      </c>
      <c r="BW895" s="31">
        <v>5.5</v>
      </c>
      <c r="BY895" s="31">
        <v>99999</v>
      </c>
      <c r="BZ895" s="31">
        <v>99999</v>
      </c>
      <c r="CA895" s="31" t="s">
        <v>1321</v>
      </c>
      <c r="FN895" s="31">
        <v>99999</v>
      </c>
      <c r="FR895" s="31" t="s">
        <v>701</v>
      </c>
      <c r="FT895" s="31">
        <v>42</v>
      </c>
    </row>
    <row r="896" spans="1:176" s="31" customFormat="1" x14ac:dyDescent="0.25">
      <c r="A896" s="31">
        <v>42</v>
      </c>
      <c r="B896" s="31" t="s">
        <v>693</v>
      </c>
      <c r="C896" s="31" t="s">
        <v>694</v>
      </c>
      <c r="D896" s="31">
        <v>1989</v>
      </c>
      <c r="E896" s="31">
        <v>1988</v>
      </c>
      <c r="F896" s="31" t="s">
        <v>498</v>
      </c>
      <c r="G896" s="31" t="s">
        <v>697</v>
      </c>
      <c r="H896" s="50">
        <v>31.62</v>
      </c>
      <c r="I896" s="31">
        <v>-81.91</v>
      </c>
      <c r="J896" s="31">
        <v>33.700000000000003</v>
      </c>
      <c r="P896" s="56">
        <v>3</v>
      </c>
      <c r="Q896" s="56"/>
      <c r="R896" s="56"/>
      <c r="S896" s="56" t="s">
        <v>1577</v>
      </c>
      <c r="T896" s="56" t="s">
        <v>1570</v>
      </c>
      <c r="U896" s="56" t="s">
        <v>1555</v>
      </c>
      <c r="V896" s="56" t="s">
        <v>1910</v>
      </c>
      <c r="Z896" s="31" t="s">
        <v>604</v>
      </c>
      <c r="AA896" s="31">
        <v>5.5</v>
      </c>
      <c r="AB896" s="31">
        <v>0.72</v>
      </c>
      <c r="AD896" s="31" t="s">
        <v>1487</v>
      </c>
      <c r="AE896" s="31" t="s">
        <v>1701</v>
      </c>
      <c r="AF896" s="152" t="s">
        <v>666</v>
      </c>
      <c r="AG896" s="31" t="s">
        <v>258</v>
      </c>
      <c r="AH896" s="155" t="s">
        <v>258</v>
      </c>
      <c r="AR896" s="31" t="s">
        <v>147</v>
      </c>
      <c r="AS896" s="31">
        <v>4</v>
      </c>
      <c r="AT896" s="31">
        <v>4</v>
      </c>
      <c r="AU896" s="31" t="s">
        <v>379</v>
      </c>
      <c r="AW896" s="31">
        <v>3544</v>
      </c>
      <c r="AX896" s="31">
        <v>32.814814814814817</v>
      </c>
      <c r="AY896" s="64"/>
      <c r="BJ896" s="31">
        <f t="shared" ref="BJ896:BJ897" si="214">0.72</f>
        <v>0.72</v>
      </c>
      <c r="BK896" s="31">
        <v>0.77</v>
      </c>
      <c r="BL896" s="31" t="s">
        <v>195</v>
      </c>
      <c r="BM896" s="31">
        <v>900</v>
      </c>
      <c r="BN896" s="31">
        <v>1000</v>
      </c>
      <c r="BO896" s="31" t="s">
        <v>1861</v>
      </c>
      <c r="BP896" s="31">
        <v>18</v>
      </c>
      <c r="BQ896" s="31">
        <v>11.5</v>
      </c>
      <c r="BV896" s="31">
        <v>5.6</v>
      </c>
      <c r="BW896" s="31">
        <v>5</v>
      </c>
      <c r="BY896" s="31">
        <v>99999</v>
      </c>
      <c r="BZ896" s="31">
        <v>99999</v>
      </c>
      <c r="CA896" s="31" t="s">
        <v>1321</v>
      </c>
      <c r="FN896" s="31">
        <v>99999</v>
      </c>
      <c r="FR896" s="31" t="s">
        <v>701</v>
      </c>
      <c r="FT896" s="31">
        <v>42</v>
      </c>
    </row>
    <row r="897" spans="1:176" s="31" customFormat="1" x14ac:dyDescent="0.25">
      <c r="A897" s="31">
        <v>42</v>
      </c>
      <c r="B897" s="31" t="s">
        <v>693</v>
      </c>
      <c r="C897" s="31" t="s">
        <v>694</v>
      </c>
      <c r="D897" s="31">
        <v>1989</v>
      </c>
      <c r="E897" s="31">
        <v>1988</v>
      </c>
      <c r="F897" s="31" t="s">
        <v>498</v>
      </c>
      <c r="G897" s="31" t="s">
        <v>697</v>
      </c>
      <c r="H897" s="50">
        <v>31.62</v>
      </c>
      <c r="I897" s="31">
        <v>-81.91</v>
      </c>
      <c r="J897" s="31">
        <v>33.700000000000003</v>
      </c>
      <c r="P897" s="56">
        <v>3</v>
      </c>
      <c r="Q897" s="56"/>
      <c r="R897" s="56"/>
      <c r="S897" s="56" t="s">
        <v>1577</v>
      </c>
      <c r="T897" s="56" t="s">
        <v>1570</v>
      </c>
      <c r="U897" s="56" t="s">
        <v>1555</v>
      </c>
      <c r="V897" s="56" t="s">
        <v>1910</v>
      </c>
      <c r="Z897" s="31" t="s">
        <v>604</v>
      </c>
      <c r="AA897" s="31">
        <v>5.5</v>
      </c>
      <c r="AB897" s="31">
        <v>0.72</v>
      </c>
      <c r="AD897" s="31" t="s">
        <v>1487</v>
      </c>
      <c r="AE897" s="31" t="s">
        <v>281</v>
      </c>
      <c r="AF897" s="152" t="s">
        <v>666</v>
      </c>
      <c r="AG897" s="31" t="s">
        <v>258</v>
      </c>
      <c r="AH897" s="155" t="s">
        <v>258</v>
      </c>
      <c r="AR897" s="31" t="s">
        <v>147</v>
      </c>
      <c r="AS897" s="31">
        <v>4</v>
      </c>
      <c r="AT897" s="31">
        <v>4</v>
      </c>
      <c r="AU897" s="31" t="s">
        <v>379</v>
      </c>
      <c r="AW897" s="31">
        <v>3433</v>
      </c>
      <c r="AX897" s="31">
        <v>26.8203125</v>
      </c>
      <c r="AY897" s="64"/>
      <c r="BJ897" s="31">
        <f t="shared" si="214"/>
        <v>0.72</v>
      </c>
      <c r="BK897" s="31">
        <v>0.74</v>
      </c>
      <c r="BL897" s="31" t="s">
        <v>195</v>
      </c>
      <c r="BM897" s="31">
        <v>900</v>
      </c>
      <c r="BN897" s="31">
        <v>1000</v>
      </c>
      <c r="BO897" s="31" t="s">
        <v>1861</v>
      </c>
      <c r="BP897" s="31">
        <v>18</v>
      </c>
      <c r="BQ897" s="31">
        <v>12.4</v>
      </c>
      <c r="BV897" s="31">
        <v>5.6</v>
      </c>
      <c r="BW897" s="31">
        <v>5.3</v>
      </c>
      <c r="BY897" s="31">
        <v>99999</v>
      </c>
      <c r="BZ897" s="31">
        <v>99999</v>
      </c>
      <c r="CA897" s="31" t="s">
        <v>1321</v>
      </c>
      <c r="FN897" s="31">
        <v>99999</v>
      </c>
      <c r="FR897" s="31" t="s">
        <v>701</v>
      </c>
      <c r="FT897" s="31">
        <v>42</v>
      </c>
    </row>
    <row r="898" spans="1:176" s="31" customFormat="1" x14ac:dyDescent="0.25">
      <c r="A898" s="31">
        <v>42</v>
      </c>
      <c r="B898" s="31" t="s">
        <v>693</v>
      </c>
      <c r="C898" s="31" t="s">
        <v>694</v>
      </c>
      <c r="D898" s="31">
        <v>1989</v>
      </c>
      <c r="E898" s="31">
        <v>1988</v>
      </c>
      <c r="F898" s="31" t="s">
        <v>498</v>
      </c>
      <c r="G898" s="31" t="s">
        <v>697</v>
      </c>
      <c r="H898" s="50">
        <v>31.62</v>
      </c>
      <c r="I898" s="31">
        <v>-81.91</v>
      </c>
      <c r="J898" s="31">
        <v>33.700000000000003</v>
      </c>
      <c r="P898" s="56">
        <v>3</v>
      </c>
      <c r="Q898" s="56"/>
      <c r="R898" s="56"/>
      <c r="S898" s="56" t="s">
        <v>1568</v>
      </c>
      <c r="T898" s="56" t="s">
        <v>1570</v>
      </c>
      <c r="U898" s="56" t="s">
        <v>1555</v>
      </c>
      <c r="V898" s="56" t="s">
        <v>1907</v>
      </c>
      <c r="Z898" s="31" t="s">
        <v>604</v>
      </c>
      <c r="AA898" s="31">
        <v>5.5</v>
      </c>
      <c r="AB898" s="31">
        <v>0.72</v>
      </c>
      <c r="AD898" s="31" t="s">
        <v>1487</v>
      </c>
      <c r="AE898" s="31" t="s">
        <v>144</v>
      </c>
      <c r="AF898" s="152" t="s">
        <v>1761</v>
      </c>
      <c r="AG898" s="31" t="s">
        <v>258</v>
      </c>
      <c r="AH898" s="155" t="s">
        <v>258</v>
      </c>
      <c r="AR898" s="31" t="s">
        <v>147</v>
      </c>
      <c r="AS898" s="31">
        <v>4</v>
      </c>
      <c r="AT898" s="31">
        <v>4</v>
      </c>
      <c r="AU898" s="31" t="s">
        <v>379</v>
      </c>
      <c r="AW898" s="31">
        <v>1775</v>
      </c>
      <c r="AX898" s="31">
        <v>55.46875</v>
      </c>
      <c r="AY898" s="64"/>
      <c r="BJ898" s="31">
        <v>0.68</v>
      </c>
      <c r="BK898" s="31">
        <v>0.66</v>
      </c>
      <c r="BL898" s="31" t="s">
        <v>195</v>
      </c>
      <c r="BM898" s="31">
        <v>900</v>
      </c>
      <c r="BN898" s="31">
        <v>900</v>
      </c>
      <c r="BO898" s="31" t="s">
        <v>1861</v>
      </c>
      <c r="BP898" s="31">
        <v>16</v>
      </c>
      <c r="BQ898" s="31">
        <v>14.4</v>
      </c>
      <c r="BV898" s="31">
        <v>6</v>
      </c>
      <c r="BW898" s="31">
        <v>5.9</v>
      </c>
      <c r="BY898" s="31">
        <v>99999</v>
      </c>
      <c r="BZ898" s="31">
        <v>99999</v>
      </c>
      <c r="CA898" s="31" t="s">
        <v>1321</v>
      </c>
      <c r="FN898" s="31">
        <v>99999</v>
      </c>
      <c r="FR898" s="31" t="s">
        <v>701</v>
      </c>
      <c r="FT898" s="31">
        <v>42</v>
      </c>
    </row>
    <row r="899" spans="1:176" s="31" customFormat="1" x14ac:dyDescent="0.25">
      <c r="A899" s="31">
        <v>42</v>
      </c>
      <c r="B899" s="31" t="s">
        <v>693</v>
      </c>
      <c r="C899" s="31" t="s">
        <v>694</v>
      </c>
      <c r="D899" s="31">
        <v>1989</v>
      </c>
      <c r="E899" s="31">
        <v>1988</v>
      </c>
      <c r="F899" s="31" t="s">
        <v>498</v>
      </c>
      <c r="G899" s="31" t="s">
        <v>697</v>
      </c>
      <c r="H899" s="50">
        <v>31.62</v>
      </c>
      <c r="I899" s="31">
        <v>-81.91</v>
      </c>
      <c r="J899" s="31">
        <v>33.700000000000003</v>
      </c>
      <c r="P899" s="56">
        <v>3</v>
      </c>
      <c r="Q899" s="56"/>
      <c r="R899" s="56"/>
      <c r="S899" s="62" t="s">
        <v>1568</v>
      </c>
      <c r="T899" s="62" t="s">
        <v>1570</v>
      </c>
      <c r="U899" s="62" t="s">
        <v>1555</v>
      </c>
      <c r="V899" s="62" t="s">
        <v>1907</v>
      </c>
      <c r="Z899" s="31" t="s">
        <v>604</v>
      </c>
      <c r="AA899" s="31">
        <v>5.5</v>
      </c>
      <c r="AB899" s="31">
        <v>0.72</v>
      </c>
      <c r="AD899" s="31" t="s">
        <v>1487</v>
      </c>
      <c r="AE899" s="31" t="s">
        <v>1701</v>
      </c>
      <c r="AF899" s="152" t="s">
        <v>666</v>
      </c>
      <c r="AG899" s="31" t="s">
        <v>258</v>
      </c>
      <c r="AH899" s="155" t="s">
        <v>258</v>
      </c>
      <c r="AR899" s="31" t="s">
        <v>147</v>
      </c>
      <c r="AS899" s="31">
        <v>4</v>
      </c>
      <c r="AT899" s="31">
        <v>4</v>
      </c>
      <c r="AU899" s="31" t="s">
        <v>379</v>
      </c>
      <c r="AW899" s="31">
        <v>3544</v>
      </c>
      <c r="AX899" s="31">
        <v>32.814814814814817</v>
      </c>
      <c r="AY899" s="64"/>
      <c r="BJ899" s="31">
        <v>0.68</v>
      </c>
      <c r="BK899" s="31">
        <v>0.71</v>
      </c>
      <c r="BL899" s="31" t="s">
        <v>195</v>
      </c>
      <c r="BM899" s="31">
        <v>900</v>
      </c>
      <c r="BN899" s="31">
        <v>900</v>
      </c>
      <c r="BO899" s="31" t="s">
        <v>1861</v>
      </c>
      <c r="BP899" s="31">
        <v>16</v>
      </c>
      <c r="BQ899" s="31">
        <v>10.5</v>
      </c>
      <c r="BV899" s="31">
        <v>6</v>
      </c>
      <c r="BW899" s="31">
        <v>5.5</v>
      </c>
      <c r="BY899" s="31">
        <v>99999</v>
      </c>
      <c r="BZ899" s="31">
        <v>99999</v>
      </c>
      <c r="CA899" s="31" t="s">
        <v>1321</v>
      </c>
      <c r="FN899" s="31">
        <v>99999</v>
      </c>
      <c r="FR899" s="31" t="s">
        <v>701</v>
      </c>
      <c r="FT899" s="31">
        <v>42</v>
      </c>
    </row>
    <row r="900" spans="1:176" s="31" customFormat="1" x14ac:dyDescent="0.25">
      <c r="A900" s="31">
        <v>42</v>
      </c>
      <c r="B900" s="31" t="s">
        <v>693</v>
      </c>
      <c r="C900" s="31" t="s">
        <v>694</v>
      </c>
      <c r="D900" s="31">
        <v>1989</v>
      </c>
      <c r="E900" s="31">
        <v>1988</v>
      </c>
      <c r="F900" s="31" t="s">
        <v>498</v>
      </c>
      <c r="G900" s="31" t="s">
        <v>697</v>
      </c>
      <c r="H900" s="50">
        <v>31.62</v>
      </c>
      <c r="I900" s="31">
        <v>-81.91</v>
      </c>
      <c r="J900" s="31">
        <v>33.700000000000003</v>
      </c>
      <c r="P900" s="56">
        <v>3</v>
      </c>
      <c r="Q900" s="56"/>
      <c r="R900" s="56"/>
      <c r="S900" s="62" t="s">
        <v>1568</v>
      </c>
      <c r="T900" s="62" t="s">
        <v>1570</v>
      </c>
      <c r="U900" s="62" t="s">
        <v>1555</v>
      </c>
      <c r="V900" s="62" t="s">
        <v>1907</v>
      </c>
      <c r="Z900" s="31" t="s">
        <v>604</v>
      </c>
      <c r="AA900" s="31">
        <v>5.5</v>
      </c>
      <c r="AB900" s="31">
        <v>0.72</v>
      </c>
      <c r="AD900" s="31" t="s">
        <v>1487</v>
      </c>
      <c r="AE900" s="31" t="s">
        <v>281</v>
      </c>
      <c r="AF900" s="152" t="s">
        <v>666</v>
      </c>
      <c r="AG900" s="31" t="s">
        <v>258</v>
      </c>
      <c r="AH900" s="155" t="s">
        <v>258</v>
      </c>
      <c r="AR900" s="31" t="s">
        <v>147</v>
      </c>
      <c r="AS900" s="31">
        <v>4</v>
      </c>
      <c r="AT900" s="31">
        <v>4</v>
      </c>
      <c r="AU900" s="31" t="s">
        <v>379</v>
      </c>
      <c r="AW900" s="31">
        <v>3433</v>
      </c>
      <c r="AX900" s="31">
        <v>26.8203125</v>
      </c>
      <c r="AY900" s="64"/>
      <c r="BJ900" s="31">
        <v>0.68</v>
      </c>
      <c r="BK900" s="31">
        <v>0.67</v>
      </c>
      <c r="BL900" s="31" t="s">
        <v>195</v>
      </c>
      <c r="BM900" s="31">
        <v>900</v>
      </c>
      <c r="BN900" s="31">
        <v>900</v>
      </c>
      <c r="BO900" s="31" t="s">
        <v>1861</v>
      </c>
      <c r="BP900" s="31">
        <v>16</v>
      </c>
      <c r="BQ900" s="31">
        <v>10.8</v>
      </c>
      <c r="BV900" s="31">
        <v>6</v>
      </c>
      <c r="BW900" s="31">
        <v>5.9</v>
      </c>
      <c r="BY900" s="31">
        <v>99999</v>
      </c>
      <c r="BZ900" s="31">
        <v>99999</v>
      </c>
      <c r="CA900" s="31" t="s">
        <v>1321</v>
      </c>
      <c r="FN900" s="31">
        <v>99999</v>
      </c>
      <c r="FR900" s="31" t="s">
        <v>701</v>
      </c>
      <c r="FT900" s="31">
        <v>42</v>
      </c>
    </row>
    <row r="901" spans="1:176" s="39" customFormat="1" x14ac:dyDescent="0.25">
      <c r="A901" s="39">
        <v>43</v>
      </c>
      <c r="B901" s="39" t="s">
        <v>705</v>
      </c>
      <c r="C901" s="39" t="s">
        <v>706</v>
      </c>
      <c r="D901" s="39">
        <v>1999</v>
      </c>
      <c r="E901" s="39">
        <v>1995</v>
      </c>
      <c r="F901" s="39" t="s">
        <v>498</v>
      </c>
      <c r="G901" s="39" t="s">
        <v>156</v>
      </c>
      <c r="H901" s="39">
        <v>45.231000000000002</v>
      </c>
      <c r="I901" s="39">
        <v>-122.756</v>
      </c>
      <c r="J901" s="39">
        <v>48.4</v>
      </c>
      <c r="N901" s="39">
        <v>1040</v>
      </c>
      <c r="O901" s="39" t="s">
        <v>161</v>
      </c>
      <c r="P901" s="58">
        <v>1</v>
      </c>
      <c r="Q901" s="58"/>
      <c r="R901" s="58" t="s">
        <v>266</v>
      </c>
      <c r="S901" s="58" t="s">
        <v>1555</v>
      </c>
      <c r="T901" s="58" t="s">
        <v>1555</v>
      </c>
      <c r="U901" s="58" t="s">
        <v>1555</v>
      </c>
      <c r="V901" s="58" t="s">
        <v>1903</v>
      </c>
      <c r="X901" s="39">
        <v>31.3</v>
      </c>
      <c r="Y901" s="39">
        <v>54</v>
      </c>
      <c r="Z901" s="39" t="s">
        <v>531</v>
      </c>
      <c r="AD901" s="39" t="s">
        <v>1500</v>
      </c>
      <c r="AE901" s="39" t="s">
        <v>708</v>
      </c>
      <c r="AF901" s="152" t="s">
        <v>159</v>
      </c>
      <c r="AG901" s="39" t="s">
        <v>1783</v>
      </c>
      <c r="AH901" s="154" t="s">
        <v>1796</v>
      </c>
      <c r="AI901" s="39" t="s">
        <v>707</v>
      </c>
      <c r="AJ901" s="39" t="s">
        <v>707</v>
      </c>
      <c r="AK901" s="39" t="s">
        <v>212</v>
      </c>
      <c r="AR901" s="39" t="s">
        <v>147</v>
      </c>
      <c r="AS901" s="39">
        <v>4</v>
      </c>
      <c r="AT901" s="39">
        <v>4</v>
      </c>
      <c r="AU901" s="39" t="s">
        <v>169</v>
      </c>
      <c r="BJ901" s="39">
        <f>18.3/10</f>
        <v>1.83</v>
      </c>
      <c r="BK901" s="39">
        <v>1.66</v>
      </c>
      <c r="BL901" s="39" t="s">
        <v>709</v>
      </c>
      <c r="EJ901" s="39">
        <v>52.5</v>
      </c>
      <c r="EK901" s="39">
        <v>56.5</v>
      </c>
      <c r="EL901" s="39" t="s">
        <v>714</v>
      </c>
      <c r="EM901" s="39">
        <v>62.1</v>
      </c>
      <c r="EN901" s="39">
        <v>59.3</v>
      </c>
      <c r="FH901" s="39">
        <v>135</v>
      </c>
      <c r="FI901" s="39">
        <v>196</v>
      </c>
      <c r="FJ901" s="39" t="s">
        <v>711</v>
      </c>
      <c r="FR901" s="39" t="s">
        <v>715</v>
      </c>
      <c r="FT901" s="39">
        <v>43</v>
      </c>
    </row>
    <row r="902" spans="1:176" s="39" customFormat="1" x14ac:dyDescent="0.25">
      <c r="A902" s="39">
        <v>43</v>
      </c>
      <c r="B902" s="39" t="s">
        <v>705</v>
      </c>
      <c r="C902" s="39" t="s">
        <v>706</v>
      </c>
      <c r="D902" s="39">
        <v>1999</v>
      </c>
      <c r="E902" s="39">
        <v>1995</v>
      </c>
      <c r="F902" s="39" t="s">
        <v>498</v>
      </c>
      <c r="G902" s="39" t="s">
        <v>156</v>
      </c>
      <c r="H902" s="39">
        <v>45.231000000000002</v>
      </c>
      <c r="I902" s="39">
        <v>-122.756</v>
      </c>
      <c r="J902" s="39">
        <v>48.4</v>
      </c>
      <c r="N902" s="39">
        <v>1040</v>
      </c>
      <c r="O902" s="39" t="s">
        <v>161</v>
      </c>
      <c r="P902" s="58">
        <v>1</v>
      </c>
      <c r="Q902" s="58"/>
      <c r="R902" s="58" t="s">
        <v>266</v>
      </c>
      <c r="S902" s="58" t="s">
        <v>1555</v>
      </c>
      <c r="T902" s="58" t="s">
        <v>1555</v>
      </c>
      <c r="U902" s="58" t="s">
        <v>1555</v>
      </c>
      <c r="V902" s="58" t="s">
        <v>1903</v>
      </c>
      <c r="X902" s="39">
        <v>31.3</v>
      </c>
      <c r="Y902" s="39">
        <v>54</v>
      </c>
      <c r="Z902" s="39" t="s">
        <v>531</v>
      </c>
      <c r="AD902" s="39" t="s">
        <v>1500</v>
      </c>
      <c r="AE902" s="39" t="s">
        <v>666</v>
      </c>
      <c r="AF902" s="152" t="s">
        <v>666</v>
      </c>
      <c r="AG902" s="39" t="s">
        <v>1783</v>
      </c>
      <c r="AH902" s="154" t="s">
        <v>1796</v>
      </c>
      <c r="AI902" s="39" t="s">
        <v>707</v>
      </c>
      <c r="AJ902" s="39" t="s">
        <v>707</v>
      </c>
      <c r="AK902" s="39" t="s">
        <v>212</v>
      </c>
      <c r="AR902" s="39" t="s">
        <v>147</v>
      </c>
      <c r="AS902" s="39">
        <v>4</v>
      </c>
      <c r="AT902" s="39">
        <v>4</v>
      </c>
      <c r="AU902" s="39" t="s">
        <v>169</v>
      </c>
      <c r="BJ902" s="39">
        <f>18.3/10</f>
        <v>1.83</v>
      </c>
      <c r="BK902" s="39">
        <v>1.76</v>
      </c>
      <c r="BL902" s="39" t="s">
        <v>709</v>
      </c>
      <c r="EJ902" s="39">
        <v>52.5</v>
      </c>
      <c r="EK902" s="39">
        <v>64.900000000000006</v>
      </c>
      <c r="EL902" s="39" t="s">
        <v>714</v>
      </c>
      <c r="EM902" s="39">
        <v>62.1</v>
      </c>
      <c r="EN902" s="39">
        <v>62.1</v>
      </c>
      <c r="FH902" s="39">
        <v>135</v>
      </c>
      <c r="FI902" s="39">
        <v>206</v>
      </c>
      <c r="FJ902" s="39" t="s">
        <v>711</v>
      </c>
      <c r="FR902" s="39" t="s">
        <v>715</v>
      </c>
      <c r="FT902" s="39">
        <v>43</v>
      </c>
    </row>
    <row r="903" spans="1:176" s="26" customFormat="1" x14ac:dyDescent="0.25">
      <c r="A903" s="26">
        <v>43</v>
      </c>
      <c r="B903" s="26" t="s">
        <v>705</v>
      </c>
      <c r="C903" s="26" t="s">
        <v>706</v>
      </c>
      <c r="D903" s="26">
        <v>1999</v>
      </c>
      <c r="E903" s="26">
        <v>1996</v>
      </c>
      <c r="F903" s="26" t="s">
        <v>498</v>
      </c>
      <c r="G903" s="26" t="s">
        <v>156</v>
      </c>
      <c r="H903" s="26">
        <v>45.231000000000002</v>
      </c>
      <c r="I903" s="26">
        <v>-122.756</v>
      </c>
      <c r="J903" s="26">
        <v>48.4</v>
      </c>
      <c r="N903" s="26">
        <v>1040</v>
      </c>
      <c r="O903" s="26" t="s">
        <v>161</v>
      </c>
      <c r="P903" s="52">
        <v>2</v>
      </c>
      <c r="Q903" s="52"/>
      <c r="R903" s="52" t="s">
        <v>685</v>
      </c>
      <c r="S903" s="52" t="s">
        <v>1555</v>
      </c>
      <c r="T903" s="52" t="s">
        <v>1555</v>
      </c>
      <c r="U903" s="52" t="s">
        <v>1555</v>
      </c>
      <c r="V903" s="52" t="s">
        <v>1903</v>
      </c>
      <c r="X903" s="26">
        <v>31.3</v>
      </c>
      <c r="Y903" s="26">
        <v>54</v>
      </c>
      <c r="Z903" s="26" t="s">
        <v>531</v>
      </c>
      <c r="AD903" s="26" t="s">
        <v>1500</v>
      </c>
      <c r="AE903" s="26" t="s">
        <v>708</v>
      </c>
      <c r="AF903" s="152" t="s">
        <v>159</v>
      </c>
      <c r="AG903" s="39" t="s">
        <v>1783</v>
      </c>
      <c r="AH903" s="154" t="s">
        <v>1796</v>
      </c>
      <c r="AI903" s="26" t="s">
        <v>707</v>
      </c>
      <c r="AJ903" s="26" t="s">
        <v>707</v>
      </c>
      <c r="AK903" s="26" t="s">
        <v>212</v>
      </c>
      <c r="AR903" s="26" t="s">
        <v>147</v>
      </c>
      <c r="AS903" s="26">
        <v>4</v>
      </c>
      <c r="AT903" s="26">
        <v>4</v>
      </c>
      <c r="AU903" s="26" t="s">
        <v>169</v>
      </c>
      <c r="BJ903" s="26">
        <v>1.64</v>
      </c>
      <c r="BK903" s="26">
        <v>1.46</v>
      </c>
      <c r="BL903" s="26" t="s">
        <v>709</v>
      </c>
      <c r="BM903" s="26">
        <v>839</v>
      </c>
      <c r="BN903" s="26">
        <v>718</v>
      </c>
      <c r="BO903" s="26" t="s">
        <v>710</v>
      </c>
      <c r="EJ903" s="26">
        <v>51.9</v>
      </c>
      <c r="EK903" s="26">
        <v>64.8</v>
      </c>
      <c r="EL903" s="26" t="s">
        <v>714</v>
      </c>
      <c r="EM903" s="26">
        <v>30.3</v>
      </c>
      <c r="EN903" s="26">
        <v>47.6</v>
      </c>
      <c r="EP903" s="26">
        <v>10.4</v>
      </c>
      <c r="EQ903" s="26">
        <v>16.600000000000001</v>
      </c>
      <c r="FH903" s="26">
        <v>109</v>
      </c>
      <c r="FI903" s="26">
        <v>91</v>
      </c>
      <c r="FJ903" s="26" t="s">
        <v>711</v>
      </c>
      <c r="FR903" s="26" t="s">
        <v>715</v>
      </c>
      <c r="FT903" s="26">
        <v>43</v>
      </c>
    </row>
    <row r="904" spans="1:176" s="26" customFormat="1" x14ac:dyDescent="0.25">
      <c r="A904" s="26">
        <v>43</v>
      </c>
      <c r="B904" s="26" t="s">
        <v>705</v>
      </c>
      <c r="C904" s="26" t="s">
        <v>706</v>
      </c>
      <c r="D904" s="26">
        <v>1999</v>
      </c>
      <c r="E904" s="26">
        <v>1996</v>
      </c>
      <c r="F904" s="26" t="s">
        <v>498</v>
      </c>
      <c r="G904" s="26" t="s">
        <v>156</v>
      </c>
      <c r="H904" s="26">
        <v>45.231000000000002</v>
      </c>
      <c r="I904" s="26">
        <v>-122.756</v>
      </c>
      <c r="J904" s="26">
        <v>48.4</v>
      </c>
      <c r="N904" s="26">
        <v>1040</v>
      </c>
      <c r="O904" s="26" t="s">
        <v>161</v>
      </c>
      <c r="P904" s="52">
        <v>2</v>
      </c>
      <c r="Q904" s="52"/>
      <c r="R904" s="52" t="s">
        <v>685</v>
      </c>
      <c r="S904" s="52" t="s">
        <v>1555</v>
      </c>
      <c r="T904" s="52" t="s">
        <v>1555</v>
      </c>
      <c r="U904" s="52" t="s">
        <v>1555</v>
      </c>
      <c r="V904" s="52" t="s">
        <v>1903</v>
      </c>
      <c r="X904" s="26">
        <v>31.3</v>
      </c>
      <c r="Y904" s="26">
        <v>54</v>
      </c>
      <c r="Z904" s="26" t="s">
        <v>531</v>
      </c>
      <c r="AD904" s="26" t="s">
        <v>1500</v>
      </c>
      <c r="AE904" s="26" t="s">
        <v>666</v>
      </c>
      <c r="AF904" s="152" t="s">
        <v>666</v>
      </c>
      <c r="AG904" s="39" t="s">
        <v>1783</v>
      </c>
      <c r="AH904" s="154" t="s">
        <v>1796</v>
      </c>
      <c r="AI904" s="26" t="s">
        <v>707</v>
      </c>
      <c r="AJ904" s="26" t="s">
        <v>707</v>
      </c>
      <c r="AK904" s="26" t="s">
        <v>212</v>
      </c>
      <c r="AR904" s="26" t="s">
        <v>147</v>
      </c>
      <c r="AS904" s="26">
        <v>4</v>
      </c>
      <c r="AT904" s="26">
        <v>4</v>
      </c>
      <c r="AU904" s="26" t="s">
        <v>169</v>
      </c>
      <c r="BJ904" s="26">
        <v>1.64</v>
      </c>
      <c r="BK904" s="26">
        <v>1.63</v>
      </c>
      <c r="BL904" s="26" t="s">
        <v>709</v>
      </c>
      <c r="BM904" s="26">
        <v>839</v>
      </c>
      <c r="BN904" s="26">
        <v>753</v>
      </c>
      <c r="BO904" s="26" t="s">
        <v>710</v>
      </c>
      <c r="EJ904" s="26">
        <v>51.9</v>
      </c>
      <c r="EK904" s="26">
        <v>73.099999999999994</v>
      </c>
      <c r="EL904" s="26" t="s">
        <v>714</v>
      </c>
      <c r="EM904" s="26">
        <v>30.3</v>
      </c>
      <c r="EN904" s="26">
        <v>45.4</v>
      </c>
      <c r="EP904" s="26">
        <v>10.4</v>
      </c>
      <c r="EQ904" s="26">
        <v>13.4</v>
      </c>
      <c r="FH904" s="26">
        <v>109</v>
      </c>
      <c r="FI904" s="26">
        <v>104</v>
      </c>
      <c r="FJ904" s="26" t="s">
        <v>711</v>
      </c>
      <c r="FR904" s="26" t="s">
        <v>715</v>
      </c>
      <c r="FT904" s="26">
        <v>43</v>
      </c>
    </row>
    <row r="905" spans="1:176" s="26" customFormat="1" x14ac:dyDescent="0.25">
      <c r="A905" s="26">
        <v>43</v>
      </c>
      <c r="B905" s="26" t="s">
        <v>705</v>
      </c>
      <c r="C905" s="26" t="s">
        <v>706</v>
      </c>
      <c r="D905" s="26">
        <v>1999</v>
      </c>
      <c r="E905" s="26">
        <v>1996</v>
      </c>
      <c r="F905" s="26" t="s">
        <v>498</v>
      </c>
      <c r="G905" s="26" t="s">
        <v>156</v>
      </c>
      <c r="H905" s="26">
        <v>45.231000000000002</v>
      </c>
      <c r="I905" s="26">
        <v>-122.756</v>
      </c>
      <c r="J905" s="26">
        <v>48.4</v>
      </c>
      <c r="N905" s="26">
        <v>1040</v>
      </c>
      <c r="O905" s="26" t="s">
        <v>161</v>
      </c>
      <c r="P905" s="52">
        <v>2</v>
      </c>
      <c r="Q905" s="52"/>
      <c r="R905" s="52" t="s">
        <v>266</v>
      </c>
      <c r="S905" s="52" t="s">
        <v>1555</v>
      </c>
      <c r="T905" s="52" t="s">
        <v>1555</v>
      </c>
      <c r="U905" s="52" t="s">
        <v>1555</v>
      </c>
      <c r="V905" s="52" t="s">
        <v>1903</v>
      </c>
      <c r="X905" s="26">
        <v>31.3</v>
      </c>
      <c r="Y905" s="26">
        <v>54</v>
      </c>
      <c r="Z905" s="26" t="s">
        <v>531</v>
      </c>
      <c r="AD905" s="26" t="s">
        <v>1500</v>
      </c>
      <c r="AE905" s="26" t="s">
        <v>708</v>
      </c>
      <c r="AF905" s="152" t="s">
        <v>159</v>
      </c>
      <c r="AG905" s="39" t="s">
        <v>1783</v>
      </c>
      <c r="AH905" s="154" t="s">
        <v>1796</v>
      </c>
      <c r="AI905" s="26" t="s">
        <v>707</v>
      </c>
      <c r="AJ905" s="26" t="s">
        <v>707</v>
      </c>
      <c r="AK905" s="26" t="s">
        <v>212</v>
      </c>
      <c r="AR905" s="26" t="s">
        <v>147</v>
      </c>
      <c r="AS905" s="26">
        <v>4</v>
      </c>
      <c r="AT905" s="26">
        <v>4</v>
      </c>
      <c r="AU905" s="26" t="s">
        <v>169</v>
      </c>
      <c r="BJ905" s="26">
        <v>1.75</v>
      </c>
      <c r="BK905" s="26">
        <v>1.43</v>
      </c>
      <c r="BL905" s="26" t="s">
        <v>709</v>
      </c>
      <c r="BM905" s="26">
        <v>843</v>
      </c>
      <c r="BN905" s="26">
        <v>792</v>
      </c>
      <c r="BO905" s="26" t="s">
        <v>710</v>
      </c>
      <c r="EJ905" s="26">
        <v>77.400000000000006</v>
      </c>
      <c r="EK905" s="26">
        <v>109.2</v>
      </c>
      <c r="EL905" s="26" t="s">
        <v>714</v>
      </c>
      <c r="EM905" s="26">
        <v>43.3</v>
      </c>
      <c r="EN905" s="26">
        <v>48.4</v>
      </c>
      <c r="EP905" s="26">
        <v>7.1</v>
      </c>
      <c r="EQ905" s="26">
        <v>8.3000000000000007</v>
      </c>
      <c r="FH905" s="26">
        <v>112</v>
      </c>
      <c r="FI905" s="26">
        <v>115</v>
      </c>
      <c r="FJ905" s="26" t="s">
        <v>711</v>
      </c>
      <c r="FR905" s="26" t="s">
        <v>715</v>
      </c>
      <c r="FT905" s="26">
        <v>43</v>
      </c>
    </row>
    <row r="906" spans="1:176" s="26" customFormat="1" x14ac:dyDescent="0.25">
      <c r="A906" s="26">
        <v>43</v>
      </c>
      <c r="B906" s="26" t="s">
        <v>705</v>
      </c>
      <c r="C906" s="26" t="s">
        <v>706</v>
      </c>
      <c r="D906" s="26">
        <v>1999</v>
      </c>
      <c r="E906" s="26">
        <v>1996</v>
      </c>
      <c r="F906" s="26" t="s">
        <v>498</v>
      </c>
      <c r="G906" s="26" t="s">
        <v>156</v>
      </c>
      <c r="H906" s="26">
        <v>45.231000000000002</v>
      </c>
      <c r="I906" s="26">
        <v>-122.756</v>
      </c>
      <c r="J906" s="26">
        <v>48.4</v>
      </c>
      <c r="N906" s="26">
        <v>1040</v>
      </c>
      <c r="O906" s="26" t="s">
        <v>161</v>
      </c>
      <c r="P906" s="52">
        <v>2</v>
      </c>
      <c r="Q906" s="52"/>
      <c r="R906" s="52" t="s">
        <v>266</v>
      </c>
      <c r="S906" s="52" t="s">
        <v>1555</v>
      </c>
      <c r="T906" s="52" t="s">
        <v>1555</v>
      </c>
      <c r="U906" s="52" t="s">
        <v>1555</v>
      </c>
      <c r="V906" s="52" t="s">
        <v>1903</v>
      </c>
      <c r="X906" s="26">
        <v>31.3</v>
      </c>
      <c r="Y906" s="26">
        <v>54</v>
      </c>
      <c r="Z906" s="26" t="s">
        <v>531</v>
      </c>
      <c r="AD906" s="26" t="s">
        <v>1500</v>
      </c>
      <c r="AE906" s="26" t="s">
        <v>666</v>
      </c>
      <c r="AF906" s="152" t="s">
        <v>666</v>
      </c>
      <c r="AG906" s="39" t="s">
        <v>1783</v>
      </c>
      <c r="AH906" s="154" t="s">
        <v>1796</v>
      </c>
      <c r="AI906" s="26" t="s">
        <v>707</v>
      </c>
      <c r="AJ906" s="26" t="s">
        <v>707</v>
      </c>
      <c r="AK906" s="26" t="s">
        <v>212</v>
      </c>
      <c r="AR906" s="26" t="s">
        <v>147</v>
      </c>
      <c r="AS906" s="26">
        <v>4</v>
      </c>
      <c r="AT906" s="26">
        <v>4</v>
      </c>
      <c r="AU906" s="26" t="s">
        <v>169</v>
      </c>
      <c r="BJ906" s="26">
        <v>1.75</v>
      </c>
      <c r="BK906" s="26">
        <v>1.73</v>
      </c>
      <c r="BL906" s="26" t="s">
        <v>709</v>
      </c>
      <c r="BM906" s="26">
        <v>843</v>
      </c>
      <c r="BN906" s="26">
        <v>809</v>
      </c>
      <c r="BO906" s="26" t="s">
        <v>710</v>
      </c>
      <c r="EJ906" s="26">
        <v>77.400000000000006</v>
      </c>
      <c r="EK906" s="26">
        <v>115.2</v>
      </c>
      <c r="EL906" s="26" t="s">
        <v>714</v>
      </c>
      <c r="EM906" s="26">
        <v>43.3</v>
      </c>
      <c r="EN906" s="26">
        <v>59</v>
      </c>
      <c r="EP906" s="26">
        <v>7.1</v>
      </c>
      <c r="EQ906" s="26">
        <v>9.6999999999999993</v>
      </c>
      <c r="FH906" s="26">
        <v>112</v>
      </c>
      <c r="FI906" s="26">
        <v>124</v>
      </c>
      <c r="FJ906" s="26" t="s">
        <v>711</v>
      </c>
      <c r="FR906" s="26" t="s">
        <v>715</v>
      </c>
      <c r="FT906" s="26">
        <v>43</v>
      </c>
    </row>
    <row r="907" spans="1:176" s="31" customFormat="1" x14ac:dyDescent="0.25">
      <c r="A907" s="31">
        <v>44</v>
      </c>
      <c r="B907" s="31" t="s">
        <v>716</v>
      </c>
      <c r="C907" s="31" t="s">
        <v>717</v>
      </c>
      <c r="D907" s="31">
        <v>2000</v>
      </c>
      <c r="E907" s="31">
        <v>1996</v>
      </c>
      <c r="F907" s="31" t="s">
        <v>718</v>
      </c>
      <c r="G907" s="31" t="s">
        <v>719</v>
      </c>
      <c r="H907" s="31">
        <v>45.01</v>
      </c>
      <c r="I907" s="31">
        <v>-122.78</v>
      </c>
      <c r="J907" s="31">
        <v>78.5</v>
      </c>
      <c r="N907" s="31">
        <v>1040</v>
      </c>
      <c r="O907" s="31" t="s">
        <v>161</v>
      </c>
      <c r="P907" s="56">
        <v>1</v>
      </c>
      <c r="Q907" s="56"/>
      <c r="R907" s="56"/>
      <c r="S907" s="56" t="s">
        <v>1556</v>
      </c>
      <c r="T907" s="56" t="s">
        <v>1556</v>
      </c>
      <c r="U907" s="56" t="s">
        <v>1556</v>
      </c>
      <c r="V907" s="56" t="s">
        <v>1904</v>
      </c>
      <c r="X907" s="31">
        <v>7</v>
      </c>
      <c r="Y907" s="31">
        <v>67</v>
      </c>
      <c r="Z907" s="31" t="s">
        <v>635</v>
      </c>
      <c r="AD907" s="31" t="s">
        <v>1449</v>
      </c>
      <c r="AE907" s="31" t="s">
        <v>159</v>
      </c>
      <c r="AF907" s="152" t="s">
        <v>159</v>
      </c>
      <c r="AG907" s="31" t="s">
        <v>725</v>
      </c>
      <c r="AH907" s="155" t="s">
        <v>1793</v>
      </c>
      <c r="AI907" s="31" t="s">
        <v>728</v>
      </c>
      <c r="AJ907" s="31" t="s">
        <v>728</v>
      </c>
      <c r="AK907" s="31" t="s">
        <v>212</v>
      </c>
      <c r="AR907" s="31" t="s">
        <v>147</v>
      </c>
      <c r="AS907" s="31">
        <v>4</v>
      </c>
      <c r="AT907" s="31">
        <v>4</v>
      </c>
      <c r="AU907" s="31" t="s">
        <v>379</v>
      </c>
      <c r="BJ907" s="31">
        <v>1.95</v>
      </c>
      <c r="BK907" s="31">
        <v>1.9300000000000002</v>
      </c>
      <c r="BL907" s="31" t="s">
        <v>1855</v>
      </c>
      <c r="BM907" s="31">
        <f>1.6*1000</f>
        <v>1600</v>
      </c>
      <c r="BN907" s="31">
        <v>1700</v>
      </c>
      <c r="BO907" s="31" t="s">
        <v>272</v>
      </c>
      <c r="BS907" s="31">
        <f>0.69*390</f>
        <v>269.09999999999997</v>
      </c>
      <c r="BT907" s="31">
        <f>0.65*390</f>
        <v>253.5</v>
      </c>
      <c r="BV907" s="31">
        <v>5.74</v>
      </c>
      <c r="BW907" s="31">
        <v>5.74</v>
      </c>
      <c r="BY907" s="31">
        <v>26.32</v>
      </c>
      <c r="BZ907" s="31">
        <v>27.04</v>
      </c>
      <c r="CE907" s="31">
        <v>11.82</v>
      </c>
      <c r="CF907" s="31">
        <v>11.63</v>
      </c>
      <c r="CG907" s="31" t="s">
        <v>733</v>
      </c>
      <c r="FR907" s="31" t="s">
        <v>751</v>
      </c>
      <c r="FS907" s="31" t="s">
        <v>1785</v>
      </c>
      <c r="FT907" s="31">
        <v>44</v>
      </c>
    </row>
    <row r="908" spans="1:176" s="31" customFormat="1" x14ac:dyDescent="0.25">
      <c r="A908" s="31">
        <v>44</v>
      </c>
      <c r="B908" s="31" t="s">
        <v>716</v>
      </c>
      <c r="C908" s="31" t="s">
        <v>717</v>
      </c>
      <c r="D908" s="31">
        <v>2000</v>
      </c>
      <c r="E908" s="31">
        <v>1996</v>
      </c>
      <c r="F908" s="31" t="s">
        <v>718</v>
      </c>
      <c r="G908" s="31" t="s">
        <v>720</v>
      </c>
      <c r="H908" s="31">
        <v>44.94</v>
      </c>
      <c r="I908" s="31">
        <v>-123.04</v>
      </c>
      <c r="J908" s="31">
        <v>49.3</v>
      </c>
      <c r="N908" s="31">
        <v>1040</v>
      </c>
      <c r="O908" s="31" t="s">
        <v>161</v>
      </c>
      <c r="P908" s="56">
        <v>1</v>
      </c>
      <c r="Q908" s="56"/>
      <c r="R908" s="56"/>
      <c r="S908" s="56" t="s">
        <v>1556</v>
      </c>
      <c r="T908" s="56" t="s">
        <v>1556</v>
      </c>
      <c r="U908" s="56" t="s">
        <v>1556</v>
      </c>
      <c r="V908" s="56" t="s">
        <v>1904</v>
      </c>
      <c r="X908" s="31">
        <v>43</v>
      </c>
      <c r="Y908" s="31">
        <v>41</v>
      </c>
      <c r="Z908" s="31" t="s">
        <v>167</v>
      </c>
      <c r="AD908" s="31" t="s">
        <v>1449</v>
      </c>
      <c r="AE908" s="31" t="s">
        <v>1756</v>
      </c>
      <c r="AF908" s="152" t="s">
        <v>1762</v>
      </c>
      <c r="AG908" s="31" t="s">
        <v>160</v>
      </c>
      <c r="AH908" s="155" t="s">
        <v>1793</v>
      </c>
      <c r="AI908" s="31" t="s">
        <v>729</v>
      </c>
      <c r="AJ908" s="31" t="s">
        <v>729</v>
      </c>
      <c r="AK908" s="31" t="s">
        <v>212</v>
      </c>
      <c r="AR908" s="31" t="s">
        <v>147</v>
      </c>
      <c r="AS908" s="31">
        <v>4</v>
      </c>
      <c r="AT908" s="31">
        <v>4</v>
      </c>
      <c r="AU908" s="31" t="s">
        <v>379</v>
      </c>
      <c r="BJ908" s="31">
        <v>1.95</v>
      </c>
      <c r="BK908" s="31">
        <v>1.9300000000000002</v>
      </c>
      <c r="BL908" s="31" t="s">
        <v>1855</v>
      </c>
      <c r="BM908" s="31">
        <f t="shared" ref="BM908" si="215">1.6*1000</f>
        <v>1600</v>
      </c>
      <c r="BN908" s="31">
        <v>1700</v>
      </c>
      <c r="BO908" s="31" t="s">
        <v>272</v>
      </c>
      <c r="BS908" s="31">
        <f t="shared" ref="BS908" si="216">0.69*390</f>
        <v>269.09999999999997</v>
      </c>
      <c r="BT908" s="31">
        <f t="shared" ref="BT908" si="217">0.65*390</f>
        <v>253.5</v>
      </c>
      <c r="BV908" s="31">
        <v>5.74</v>
      </c>
      <c r="BW908" s="31">
        <v>5.74</v>
      </c>
      <c r="BY908" s="31">
        <v>26.32</v>
      </c>
      <c r="BZ908" s="31">
        <v>27.04</v>
      </c>
      <c r="CE908" s="31">
        <v>11.82</v>
      </c>
      <c r="CF908" s="31">
        <v>11.63</v>
      </c>
      <c r="CG908" s="31" t="s">
        <v>733</v>
      </c>
      <c r="FR908" s="31" t="s">
        <v>751</v>
      </c>
      <c r="FS908" s="31" t="s">
        <v>1785</v>
      </c>
      <c r="FT908" s="31">
        <v>44</v>
      </c>
    </row>
    <row r="909" spans="1:176" s="31" customFormat="1" x14ac:dyDescent="0.25">
      <c r="A909" s="31">
        <v>44</v>
      </c>
      <c r="B909" s="31" t="s">
        <v>716</v>
      </c>
      <c r="C909" s="31" t="s">
        <v>717</v>
      </c>
      <c r="D909" s="31">
        <v>2000</v>
      </c>
      <c r="E909" s="31">
        <v>1996</v>
      </c>
      <c r="F909" s="31" t="s">
        <v>718</v>
      </c>
      <c r="G909" s="31" t="s">
        <v>722</v>
      </c>
      <c r="H909" s="31">
        <v>45.15</v>
      </c>
      <c r="I909" s="31">
        <v>-122.58</v>
      </c>
      <c r="J909" s="31">
        <v>112.8</v>
      </c>
      <c r="N909" s="31">
        <v>1040</v>
      </c>
      <c r="O909" s="31" t="s">
        <v>161</v>
      </c>
      <c r="P909" s="56">
        <v>1</v>
      </c>
      <c r="Q909" s="56"/>
      <c r="R909" s="56"/>
      <c r="S909" s="56" t="s">
        <v>1556</v>
      </c>
      <c r="T909" s="56" t="s">
        <v>1556</v>
      </c>
      <c r="U909" s="56" t="s">
        <v>1556</v>
      </c>
      <c r="V909" s="56" t="s">
        <v>1904</v>
      </c>
      <c r="X909" s="31">
        <v>10</v>
      </c>
      <c r="Y909" s="31">
        <v>70</v>
      </c>
      <c r="Z909" s="31" t="s">
        <v>531</v>
      </c>
      <c r="AD909" s="31" t="s">
        <v>1449</v>
      </c>
      <c r="AE909" s="31" t="s">
        <v>607</v>
      </c>
      <c r="AF909" s="152" t="s">
        <v>1761</v>
      </c>
      <c r="AG909" s="31" t="s">
        <v>160</v>
      </c>
      <c r="AH909" s="155" t="s">
        <v>1793</v>
      </c>
      <c r="AI909" s="31" t="s">
        <v>728</v>
      </c>
      <c r="AJ909" s="31" t="s">
        <v>728</v>
      </c>
      <c r="AK909" s="31" t="s">
        <v>212</v>
      </c>
      <c r="AR909" s="31" t="s">
        <v>147</v>
      </c>
      <c r="AS909" s="31">
        <v>4</v>
      </c>
      <c r="AT909" s="31">
        <v>4</v>
      </c>
      <c r="AU909" s="31" t="s">
        <v>379</v>
      </c>
      <c r="FR909" s="31" t="s">
        <v>751</v>
      </c>
      <c r="FS909" s="31" t="s">
        <v>1785</v>
      </c>
      <c r="FT909" s="31">
        <v>44</v>
      </c>
    </row>
    <row r="910" spans="1:176" s="31" customFormat="1" x14ac:dyDescent="0.25">
      <c r="A910" s="31">
        <v>44</v>
      </c>
      <c r="B910" s="31" t="s">
        <v>716</v>
      </c>
      <c r="C910" s="31" t="s">
        <v>717</v>
      </c>
      <c r="D910" s="31">
        <v>2000</v>
      </c>
      <c r="E910" s="31">
        <v>1996</v>
      </c>
      <c r="F910" s="31" t="s">
        <v>718</v>
      </c>
      <c r="G910" s="31" t="s">
        <v>721</v>
      </c>
      <c r="H910" s="31">
        <v>45.11</v>
      </c>
      <c r="I910" s="31">
        <v>-122.9</v>
      </c>
      <c r="J910" s="31">
        <v>57.3</v>
      </c>
      <c r="N910" s="31">
        <v>1040</v>
      </c>
      <c r="O910" s="31" t="s">
        <v>161</v>
      </c>
      <c r="P910" s="56">
        <v>1</v>
      </c>
      <c r="Q910" s="56"/>
      <c r="R910" s="56"/>
      <c r="S910" s="56" t="s">
        <v>1556</v>
      </c>
      <c r="T910" s="56" t="s">
        <v>1556</v>
      </c>
      <c r="U910" s="56" t="s">
        <v>1556</v>
      </c>
      <c r="V910" s="56" t="s">
        <v>1904</v>
      </c>
      <c r="X910" s="31">
        <v>9</v>
      </c>
      <c r="Y910" s="31">
        <v>70</v>
      </c>
      <c r="Z910" s="31" t="s">
        <v>531</v>
      </c>
      <c r="AD910" s="31" t="s">
        <v>1449</v>
      </c>
      <c r="AE910" s="31" t="s">
        <v>281</v>
      </c>
      <c r="AF910" s="152" t="s">
        <v>666</v>
      </c>
      <c r="AG910" s="31" t="s">
        <v>160</v>
      </c>
      <c r="AH910" s="155" t="s">
        <v>1793</v>
      </c>
      <c r="AI910" s="31" t="s">
        <v>730</v>
      </c>
      <c r="AJ910" s="31" t="s">
        <v>730</v>
      </c>
      <c r="AK910" s="31" t="s">
        <v>212</v>
      </c>
      <c r="AR910" s="31" t="s">
        <v>147</v>
      </c>
      <c r="AS910" s="31">
        <v>4</v>
      </c>
      <c r="AT910" s="31">
        <v>4</v>
      </c>
      <c r="AU910" s="31" t="s">
        <v>379</v>
      </c>
      <c r="FR910" s="31" t="s">
        <v>751</v>
      </c>
      <c r="FS910" s="31" t="s">
        <v>1785</v>
      </c>
      <c r="FT910" s="31">
        <v>44</v>
      </c>
    </row>
    <row r="911" spans="1:176" s="23" customFormat="1" x14ac:dyDescent="0.25">
      <c r="A911" s="23">
        <v>44</v>
      </c>
      <c r="B911" s="23" t="s">
        <v>716</v>
      </c>
      <c r="C911" s="23" t="s">
        <v>717</v>
      </c>
      <c r="D911" s="23">
        <v>2000</v>
      </c>
      <c r="E911" s="23">
        <v>1996</v>
      </c>
      <c r="F911" s="23" t="s">
        <v>718</v>
      </c>
      <c r="G911" s="23" t="s">
        <v>723</v>
      </c>
      <c r="H911" s="23">
        <v>45.231000000000002</v>
      </c>
      <c r="I911" s="23">
        <v>-122.756</v>
      </c>
      <c r="J911" s="23">
        <v>48.4</v>
      </c>
      <c r="N911" s="23">
        <v>1040</v>
      </c>
      <c r="O911" s="23" t="s">
        <v>161</v>
      </c>
      <c r="P911" s="23">
        <v>1</v>
      </c>
      <c r="R911" s="53"/>
      <c r="S911" s="53" t="s">
        <v>1556</v>
      </c>
      <c r="T911" s="53" t="s">
        <v>1556</v>
      </c>
      <c r="U911" s="53" t="s">
        <v>1556</v>
      </c>
      <c r="V911" s="53" t="s">
        <v>1904</v>
      </c>
      <c r="W911" s="53"/>
      <c r="X911" s="23">
        <v>28</v>
      </c>
      <c r="Y911" s="23">
        <v>54</v>
      </c>
      <c r="Z911" s="23" t="s">
        <v>531</v>
      </c>
      <c r="AD911" s="23" t="s">
        <v>1449</v>
      </c>
      <c r="AE911" s="23" t="s">
        <v>1755</v>
      </c>
      <c r="AF911" s="152" t="s">
        <v>1762</v>
      </c>
      <c r="AG911" s="23" t="s">
        <v>726</v>
      </c>
      <c r="AH911" s="155" t="s">
        <v>1793</v>
      </c>
      <c r="AI911" s="23" t="s">
        <v>731</v>
      </c>
      <c r="AJ911" s="23" t="s">
        <v>731</v>
      </c>
      <c r="AK911" s="23" t="s">
        <v>212</v>
      </c>
      <c r="AR911" s="23" t="s">
        <v>147</v>
      </c>
      <c r="AS911" s="23">
        <v>4</v>
      </c>
      <c r="AT911" s="23">
        <v>4</v>
      </c>
      <c r="AU911" s="23" t="s">
        <v>379</v>
      </c>
      <c r="BJ911" s="23">
        <v>1.8199999999999998</v>
      </c>
      <c r="BK911" s="23">
        <v>1.6</v>
      </c>
      <c r="BL911" s="23" t="s">
        <v>1855</v>
      </c>
      <c r="BM911" s="23">
        <v>1300</v>
      </c>
      <c r="BN911" s="23">
        <v>1200</v>
      </c>
      <c r="BO911" s="23" t="s">
        <v>272</v>
      </c>
      <c r="BS911" s="23">
        <f>0.45*390</f>
        <v>175.5</v>
      </c>
      <c r="BT911" s="23">
        <f>0.49*390</f>
        <v>191.1</v>
      </c>
      <c r="BU911" s="31"/>
      <c r="BV911" s="23">
        <v>5.3</v>
      </c>
      <c r="BW911" s="23">
        <v>4.9000000000000004</v>
      </c>
      <c r="BY911" s="23">
        <v>23.4</v>
      </c>
      <c r="BZ911" s="23">
        <v>22.96</v>
      </c>
      <c r="CE911" s="23">
        <v>6.3</v>
      </c>
      <c r="CF911" s="23">
        <v>7.55</v>
      </c>
      <c r="CG911" s="23" t="s">
        <v>733</v>
      </c>
      <c r="FR911" s="31" t="s">
        <v>751</v>
      </c>
      <c r="FS911" s="31" t="s">
        <v>1785</v>
      </c>
      <c r="FT911" s="23">
        <v>44</v>
      </c>
    </row>
    <row r="912" spans="1:176" s="23" customFormat="1" x14ac:dyDescent="0.25">
      <c r="A912" s="23">
        <v>44</v>
      </c>
      <c r="B912" s="23" t="s">
        <v>716</v>
      </c>
      <c r="C912" s="23" t="s">
        <v>717</v>
      </c>
      <c r="D912" s="23">
        <v>2000</v>
      </c>
      <c r="E912" s="23">
        <v>1996</v>
      </c>
      <c r="F912" s="23" t="s">
        <v>718</v>
      </c>
      <c r="G912" s="23" t="s">
        <v>724</v>
      </c>
      <c r="H912" s="23">
        <v>44.94</v>
      </c>
      <c r="I912" s="23">
        <v>-122.93</v>
      </c>
      <c r="J912" s="23">
        <v>66.5</v>
      </c>
      <c r="N912" s="23">
        <v>1040</v>
      </c>
      <c r="O912" s="23" t="s">
        <v>161</v>
      </c>
      <c r="P912" s="53">
        <v>1</v>
      </c>
      <c r="Q912" s="53"/>
      <c r="R912" s="53"/>
      <c r="S912" s="53" t="s">
        <v>1556</v>
      </c>
      <c r="T912" s="53" t="s">
        <v>1556</v>
      </c>
      <c r="U912" s="53" t="s">
        <v>1556</v>
      </c>
      <c r="V912" s="53" t="s">
        <v>1904</v>
      </c>
      <c r="X912" s="23">
        <v>22</v>
      </c>
      <c r="Y912" s="23">
        <v>52</v>
      </c>
      <c r="Z912" s="23" t="s">
        <v>531</v>
      </c>
      <c r="AD912" s="23" t="s">
        <v>1449</v>
      </c>
      <c r="AE912" s="23" t="s">
        <v>727</v>
      </c>
      <c r="AF912" s="152" t="s">
        <v>727</v>
      </c>
      <c r="AG912" s="23" t="s">
        <v>160</v>
      </c>
      <c r="AH912" s="155" t="s">
        <v>1793</v>
      </c>
      <c r="AI912" s="23" t="s">
        <v>732</v>
      </c>
      <c r="AJ912" s="23" t="s">
        <v>732</v>
      </c>
      <c r="AK912" s="23" t="s">
        <v>212</v>
      </c>
      <c r="AR912" s="23" t="s">
        <v>147</v>
      </c>
      <c r="AS912" s="23">
        <v>4</v>
      </c>
      <c r="AT912" s="23">
        <v>4</v>
      </c>
      <c r="AU912" s="23" t="s">
        <v>379</v>
      </c>
      <c r="BJ912" s="23">
        <v>1.53</v>
      </c>
      <c r="BK912" s="23">
        <v>1.7399999999999998</v>
      </c>
      <c r="BL912" s="23" t="s">
        <v>1855</v>
      </c>
      <c r="BM912" s="23">
        <v>1500</v>
      </c>
      <c r="BN912" s="23">
        <v>1400</v>
      </c>
      <c r="BO912" s="23" t="s">
        <v>272</v>
      </c>
      <c r="BS912" s="23">
        <f>0.6*390</f>
        <v>234</v>
      </c>
      <c r="BT912" s="23">
        <f>0.73*390</f>
        <v>284.7</v>
      </c>
      <c r="BU912" s="31"/>
      <c r="BV912" s="23">
        <v>5.53</v>
      </c>
      <c r="BW912" s="23">
        <v>5.5</v>
      </c>
      <c r="BY912" s="23">
        <v>33.97</v>
      </c>
      <c r="BZ912" s="23">
        <v>31.45</v>
      </c>
      <c r="CE912" s="23">
        <v>16.079999999999998</v>
      </c>
      <c r="CF912" s="23">
        <v>16.55</v>
      </c>
      <c r="CG912" s="23" t="s">
        <v>733</v>
      </c>
      <c r="FR912" s="31" t="s">
        <v>751</v>
      </c>
      <c r="FS912" s="31" t="s">
        <v>1785</v>
      </c>
      <c r="FT912" s="23">
        <v>44</v>
      </c>
    </row>
    <row r="913" spans="1:176" s="31" customFormat="1" x14ac:dyDescent="0.25">
      <c r="A913" s="31">
        <v>44</v>
      </c>
      <c r="B913" s="31" t="s">
        <v>716</v>
      </c>
      <c r="C913" s="31" t="s">
        <v>717</v>
      </c>
      <c r="D913" s="31">
        <v>2000</v>
      </c>
      <c r="E913" s="31">
        <v>1996</v>
      </c>
      <c r="F913" s="31" t="s">
        <v>718</v>
      </c>
      <c r="G913" s="31" t="s">
        <v>1786</v>
      </c>
      <c r="H913" s="31">
        <v>45.01</v>
      </c>
      <c r="I913" s="31">
        <v>-122.78</v>
      </c>
      <c r="J913" s="31">
        <v>78.5</v>
      </c>
      <c r="N913" s="31">
        <v>1040</v>
      </c>
      <c r="O913" s="31" t="s">
        <v>161</v>
      </c>
      <c r="P913" s="56">
        <v>1</v>
      </c>
      <c r="Q913" s="56"/>
      <c r="R913" s="56" t="s">
        <v>747</v>
      </c>
      <c r="S913" s="56" t="s">
        <v>1556</v>
      </c>
      <c r="T913" s="56" t="s">
        <v>1556</v>
      </c>
      <c r="U913" s="56" t="s">
        <v>1556</v>
      </c>
      <c r="V913" s="56" t="s">
        <v>1904</v>
      </c>
      <c r="X913" s="31">
        <v>7</v>
      </c>
      <c r="Y913" s="31">
        <v>67</v>
      </c>
      <c r="Z913" s="31" t="s">
        <v>635</v>
      </c>
      <c r="AD913" s="31" t="s">
        <v>1449</v>
      </c>
      <c r="AE913" s="31" t="s">
        <v>159</v>
      </c>
      <c r="AF913" s="152" t="s">
        <v>159</v>
      </c>
      <c r="AG913" s="31" t="s">
        <v>725</v>
      </c>
      <c r="AH913" s="155" t="s">
        <v>1793</v>
      </c>
      <c r="AI913" s="31" t="s">
        <v>728</v>
      </c>
      <c r="AJ913" s="31" t="s">
        <v>728</v>
      </c>
      <c r="AK913" s="31" t="s">
        <v>212</v>
      </c>
      <c r="AR913" s="31" t="s">
        <v>147</v>
      </c>
      <c r="AS913" s="31">
        <v>4</v>
      </c>
      <c r="AT913" s="31">
        <v>4</v>
      </c>
      <c r="AU913" s="31" t="s">
        <v>379</v>
      </c>
      <c r="EJ913" s="31">
        <v>102.23</v>
      </c>
      <c r="EK913" s="31">
        <v>102.23</v>
      </c>
      <c r="EL913" s="31" t="s">
        <v>714</v>
      </c>
      <c r="FH913" s="31">
        <v>119.18</v>
      </c>
      <c r="FI913" s="31">
        <v>119.18</v>
      </c>
      <c r="FR913" s="31" t="s">
        <v>751</v>
      </c>
      <c r="FS913" s="31" t="s">
        <v>1785</v>
      </c>
      <c r="FT913" s="31">
        <v>44</v>
      </c>
    </row>
    <row r="914" spans="1:176" s="31" customFormat="1" x14ac:dyDescent="0.25">
      <c r="A914" s="31">
        <v>44</v>
      </c>
      <c r="B914" s="31" t="s">
        <v>716</v>
      </c>
      <c r="C914" s="31" t="s">
        <v>717</v>
      </c>
      <c r="D914" s="31">
        <v>2000</v>
      </c>
      <c r="E914" s="31">
        <v>1997</v>
      </c>
      <c r="F914" s="31" t="s">
        <v>718</v>
      </c>
      <c r="G914" s="31" t="s">
        <v>1786</v>
      </c>
      <c r="H914" s="31">
        <v>45.01</v>
      </c>
      <c r="I914" s="31">
        <v>-122.78</v>
      </c>
      <c r="J914" s="31">
        <v>78.5</v>
      </c>
      <c r="N914" s="31">
        <v>1040</v>
      </c>
      <c r="O914" s="31" t="s">
        <v>161</v>
      </c>
      <c r="P914" s="56">
        <v>2</v>
      </c>
      <c r="Q914" s="56"/>
      <c r="R914" s="56" t="s">
        <v>748</v>
      </c>
      <c r="S914" s="56" t="s">
        <v>1556</v>
      </c>
      <c r="T914" s="56" t="s">
        <v>1556</v>
      </c>
      <c r="U914" s="56" t="s">
        <v>1556</v>
      </c>
      <c r="V914" s="56" t="s">
        <v>1904</v>
      </c>
      <c r="X914" s="31">
        <v>7</v>
      </c>
      <c r="Y914" s="31">
        <v>67</v>
      </c>
      <c r="Z914" s="31" t="s">
        <v>635</v>
      </c>
      <c r="AD914" s="31" t="s">
        <v>1449</v>
      </c>
      <c r="AE914" s="31" t="s">
        <v>159</v>
      </c>
      <c r="AF914" s="152" t="s">
        <v>159</v>
      </c>
      <c r="AG914" s="31" t="s">
        <v>725</v>
      </c>
      <c r="AH914" s="155" t="s">
        <v>1793</v>
      </c>
      <c r="AI914" s="31" t="s">
        <v>728</v>
      </c>
      <c r="AJ914" s="31" t="s">
        <v>728</v>
      </c>
      <c r="AK914" s="31" t="s">
        <v>212</v>
      </c>
      <c r="AR914" s="31" t="s">
        <v>147</v>
      </c>
      <c r="AS914" s="31">
        <v>4</v>
      </c>
      <c r="AT914" s="31">
        <v>4</v>
      </c>
      <c r="AU914" s="31" t="s">
        <v>379</v>
      </c>
      <c r="EJ914" s="31">
        <v>125.4</v>
      </c>
      <c r="EK914" s="31">
        <v>148.54</v>
      </c>
      <c r="EL914" s="31" t="s">
        <v>714</v>
      </c>
      <c r="FH914" s="31">
        <v>177</v>
      </c>
      <c r="FI914" s="31">
        <v>213.62</v>
      </c>
      <c r="FR914" s="31" t="s">
        <v>751</v>
      </c>
      <c r="FS914" s="31" t="s">
        <v>1785</v>
      </c>
      <c r="FT914" s="31">
        <v>44</v>
      </c>
    </row>
    <row r="915" spans="1:176" s="31" customFormat="1" x14ac:dyDescent="0.25">
      <c r="A915" s="31">
        <v>44</v>
      </c>
      <c r="B915" s="31" t="s">
        <v>716</v>
      </c>
      <c r="C915" s="31" t="s">
        <v>717</v>
      </c>
      <c r="D915" s="31">
        <v>2000</v>
      </c>
      <c r="E915" s="31">
        <v>1997</v>
      </c>
      <c r="F915" s="31" t="s">
        <v>718</v>
      </c>
      <c r="G915" s="31" t="s">
        <v>1786</v>
      </c>
      <c r="H915" s="31">
        <v>45.01</v>
      </c>
      <c r="I915" s="31">
        <v>-122.78</v>
      </c>
      <c r="J915" s="31">
        <v>78.5</v>
      </c>
      <c r="N915" s="31">
        <v>1040</v>
      </c>
      <c r="O915" s="31" t="s">
        <v>161</v>
      </c>
      <c r="P915" s="56">
        <v>2</v>
      </c>
      <c r="Q915" s="56"/>
      <c r="R915" s="56" t="s">
        <v>747</v>
      </c>
      <c r="S915" s="56" t="s">
        <v>1556</v>
      </c>
      <c r="T915" s="56" t="s">
        <v>1556</v>
      </c>
      <c r="U915" s="56" t="s">
        <v>1556</v>
      </c>
      <c r="V915" s="56" t="s">
        <v>1904</v>
      </c>
      <c r="X915" s="31">
        <v>7</v>
      </c>
      <c r="Y915" s="31">
        <v>67</v>
      </c>
      <c r="Z915" s="31" t="s">
        <v>635</v>
      </c>
      <c r="AD915" s="31" t="s">
        <v>1449</v>
      </c>
      <c r="AE915" s="31" t="s">
        <v>159</v>
      </c>
      <c r="AF915" s="152" t="s">
        <v>159</v>
      </c>
      <c r="AG915" s="31" t="s">
        <v>725</v>
      </c>
      <c r="AH915" s="155" t="s">
        <v>1793</v>
      </c>
      <c r="AI915" s="31" t="s">
        <v>728</v>
      </c>
      <c r="AJ915" s="31" t="s">
        <v>728</v>
      </c>
      <c r="AK915" s="31" t="s">
        <v>212</v>
      </c>
      <c r="AR915" s="31" t="s">
        <v>147</v>
      </c>
      <c r="AS915" s="31">
        <v>4</v>
      </c>
      <c r="AT915" s="31">
        <v>4</v>
      </c>
      <c r="AU915" s="31" t="s">
        <v>379</v>
      </c>
      <c r="EJ915" s="31">
        <v>125.85</v>
      </c>
      <c r="EK915" s="31">
        <v>129.63</v>
      </c>
      <c r="EL915" s="31" t="s">
        <v>714</v>
      </c>
      <c r="FH915" s="31">
        <v>137.91</v>
      </c>
      <c r="FI915" s="31">
        <v>193.93</v>
      </c>
      <c r="FR915" s="31" t="s">
        <v>751</v>
      </c>
      <c r="FS915" s="31" t="s">
        <v>1785</v>
      </c>
      <c r="FT915" s="31">
        <v>44</v>
      </c>
    </row>
    <row r="916" spans="1:176" s="31" customFormat="1" x14ac:dyDescent="0.25">
      <c r="A916" s="31">
        <v>44</v>
      </c>
      <c r="B916" s="31" t="s">
        <v>716</v>
      </c>
      <c r="C916" s="31" t="s">
        <v>717</v>
      </c>
      <c r="D916" s="31">
        <v>2000</v>
      </c>
      <c r="E916" s="31">
        <v>1997</v>
      </c>
      <c r="F916" s="31" t="s">
        <v>718</v>
      </c>
      <c r="G916" s="31" t="s">
        <v>1786</v>
      </c>
      <c r="H916" s="31">
        <v>45.01</v>
      </c>
      <c r="I916" s="31">
        <v>-122.78</v>
      </c>
      <c r="J916" s="31">
        <v>78.5</v>
      </c>
      <c r="N916" s="31">
        <v>1040</v>
      </c>
      <c r="O916" s="31" t="s">
        <v>161</v>
      </c>
      <c r="P916" s="56">
        <v>2</v>
      </c>
      <c r="Q916" s="56"/>
      <c r="R916" s="56" t="s">
        <v>749</v>
      </c>
      <c r="S916" s="56" t="s">
        <v>1556</v>
      </c>
      <c r="T916" s="56" t="s">
        <v>1556</v>
      </c>
      <c r="U916" s="56" t="s">
        <v>1556</v>
      </c>
      <c r="V916" s="56" t="s">
        <v>1904</v>
      </c>
      <c r="X916" s="31">
        <v>7</v>
      </c>
      <c r="Y916" s="31">
        <v>67</v>
      </c>
      <c r="Z916" s="31" t="s">
        <v>635</v>
      </c>
      <c r="AD916" s="31" t="s">
        <v>1449</v>
      </c>
      <c r="AE916" s="31" t="s">
        <v>159</v>
      </c>
      <c r="AF916" s="152" t="s">
        <v>159</v>
      </c>
      <c r="AG916" s="31" t="s">
        <v>725</v>
      </c>
      <c r="AH916" s="155" t="s">
        <v>1793</v>
      </c>
      <c r="AI916" s="31" t="s">
        <v>728</v>
      </c>
      <c r="AJ916" s="31" t="s">
        <v>728</v>
      </c>
      <c r="AK916" s="31" t="s">
        <v>212</v>
      </c>
      <c r="AR916" s="31" t="s">
        <v>147</v>
      </c>
      <c r="AS916" s="31">
        <v>4</v>
      </c>
      <c r="AT916" s="31">
        <v>4</v>
      </c>
      <c r="AU916" s="31" t="s">
        <v>379</v>
      </c>
      <c r="EJ916" s="31">
        <v>127.98</v>
      </c>
      <c r="EK916" s="31">
        <v>133.03</v>
      </c>
      <c r="EL916" s="31" t="s">
        <v>714</v>
      </c>
      <c r="FH916" s="31">
        <v>182.81</v>
      </c>
      <c r="FI916" s="31">
        <v>225.86</v>
      </c>
      <c r="FR916" s="31" t="s">
        <v>751</v>
      </c>
      <c r="FS916" s="31" t="s">
        <v>1785</v>
      </c>
      <c r="FT916" s="31">
        <v>44</v>
      </c>
    </row>
    <row r="917" spans="1:176" s="31" customFormat="1" x14ac:dyDescent="0.25">
      <c r="A917" s="31">
        <v>44</v>
      </c>
      <c r="B917" s="31" t="s">
        <v>716</v>
      </c>
      <c r="C917" s="31" t="s">
        <v>717</v>
      </c>
      <c r="D917" s="31">
        <v>2000</v>
      </c>
      <c r="E917" s="31">
        <v>1998</v>
      </c>
      <c r="F917" s="31" t="s">
        <v>718</v>
      </c>
      <c r="G917" s="31" t="s">
        <v>1786</v>
      </c>
      <c r="H917" s="31">
        <v>45.01</v>
      </c>
      <c r="I917" s="31">
        <v>-122.78</v>
      </c>
      <c r="J917" s="31">
        <v>78.5</v>
      </c>
      <c r="N917" s="31">
        <v>1040</v>
      </c>
      <c r="O917" s="31" t="s">
        <v>161</v>
      </c>
      <c r="P917" s="56">
        <v>3</v>
      </c>
      <c r="Q917" s="56"/>
      <c r="R917" s="56" t="s">
        <v>748</v>
      </c>
      <c r="S917" s="56" t="s">
        <v>1556</v>
      </c>
      <c r="T917" s="56" t="s">
        <v>1556</v>
      </c>
      <c r="U917" s="56" t="s">
        <v>1556</v>
      </c>
      <c r="V917" s="56" t="s">
        <v>1904</v>
      </c>
      <c r="X917" s="31">
        <v>7</v>
      </c>
      <c r="Y917" s="31">
        <v>67</v>
      </c>
      <c r="Z917" s="31" t="s">
        <v>635</v>
      </c>
      <c r="AD917" s="31" t="s">
        <v>1449</v>
      </c>
      <c r="AE917" s="31" t="s">
        <v>159</v>
      </c>
      <c r="AF917" s="152" t="s">
        <v>159</v>
      </c>
      <c r="AG917" s="31" t="s">
        <v>725</v>
      </c>
      <c r="AH917" s="155" t="s">
        <v>1793</v>
      </c>
      <c r="AI917" s="31" t="s">
        <v>728</v>
      </c>
      <c r="AJ917" s="31" t="s">
        <v>728</v>
      </c>
      <c r="AK917" s="31" t="s">
        <v>212</v>
      </c>
      <c r="AR917" s="31" t="s">
        <v>147</v>
      </c>
      <c r="AS917" s="31">
        <v>4</v>
      </c>
      <c r="AT917" s="31">
        <v>4</v>
      </c>
      <c r="AU917" s="31" t="s">
        <v>379</v>
      </c>
      <c r="EJ917" s="31">
        <v>136.43</v>
      </c>
      <c r="EK917" s="31">
        <v>146.94</v>
      </c>
      <c r="EL917" s="31" t="s">
        <v>714</v>
      </c>
      <c r="FH917" s="31">
        <v>257.87</v>
      </c>
      <c r="FI917" s="31">
        <v>296.64</v>
      </c>
      <c r="FR917" s="31" t="s">
        <v>751</v>
      </c>
      <c r="FS917" s="31" t="s">
        <v>1785</v>
      </c>
      <c r="FT917" s="31">
        <v>44</v>
      </c>
    </row>
    <row r="918" spans="1:176" s="31" customFormat="1" x14ac:dyDescent="0.25">
      <c r="A918" s="31">
        <v>44</v>
      </c>
      <c r="B918" s="31" t="s">
        <v>716</v>
      </c>
      <c r="C918" s="31" t="s">
        <v>717</v>
      </c>
      <c r="D918" s="31">
        <v>2000</v>
      </c>
      <c r="E918" s="31">
        <v>1998</v>
      </c>
      <c r="F918" s="31" t="s">
        <v>718</v>
      </c>
      <c r="G918" s="31" t="s">
        <v>1786</v>
      </c>
      <c r="H918" s="31">
        <v>45.01</v>
      </c>
      <c r="I918" s="31">
        <v>-122.78</v>
      </c>
      <c r="J918" s="31">
        <v>78.5</v>
      </c>
      <c r="N918" s="31">
        <v>1040</v>
      </c>
      <c r="O918" s="31" t="s">
        <v>161</v>
      </c>
      <c r="P918" s="56">
        <v>3</v>
      </c>
      <c r="Q918" s="56"/>
      <c r="R918" s="56" t="s">
        <v>747</v>
      </c>
      <c r="S918" s="56" t="s">
        <v>1556</v>
      </c>
      <c r="T918" s="56" t="s">
        <v>1556</v>
      </c>
      <c r="U918" s="56" t="s">
        <v>1556</v>
      </c>
      <c r="V918" s="56" t="s">
        <v>1904</v>
      </c>
      <c r="X918" s="31">
        <v>7</v>
      </c>
      <c r="Y918" s="31">
        <v>67</v>
      </c>
      <c r="Z918" s="31" t="s">
        <v>635</v>
      </c>
      <c r="AD918" s="31" t="s">
        <v>1449</v>
      </c>
      <c r="AE918" s="31" t="s">
        <v>159</v>
      </c>
      <c r="AF918" s="152" t="s">
        <v>159</v>
      </c>
      <c r="AG918" s="31" t="s">
        <v>725</v>
      </c>
      <c r="AH918" s="155" t="s">
        <v>1793</v>
      </c>
      <c r="AI918" s="31" t="s">
        <v>728</v>
      </c>
      <c r="AJ918" s="31" t="s">
        <v>728</v>
      </c>
      <c r="AK918" s="31" t="s">
        <v>212</v>
      </c>
      <c r="AR918" s="31" t="s">
        <v>147</v>
      </c>
      <c r="AS918" s="31">
        <v>4</v>
      </c>
      <c r="AT918" s="31">
        <v>4</v>
      </c>
      <c r="AU918" s="31" t="s">
        <v>379</v>
      </c>
      <c r="EJ918" s="31">
        <v>81.77</v>
      </c>
      <c r="EK918" s="31">
        <v>105.75</v>
      </c>
      <c r="EL918" s="31" t="s">
        <v>714</v>
      </c>
      <c r="FH918" s="31">
        <v>119.67</v>
      </c>
      <c r="FI918" s="31">
        <v>158.43</v>
      </c>
      <c r="FR918" s="31" t="s">
        <v>751</v>
      </c>
      <c r="FS918" s="31" t="s">
        <v>1785</v>
      </c>
      <c r="FT918" s="31">
        <v>44</v>
      </c>
    </row>
    <row r="919" spans="1:176" s="31" customFormat="1" x14ac:dyDescent="0.25">
      <c r="A919" s="31">
        <v>44</v>
      </c>
      <c r="B919" s="31" t="s">
        <v>716</v>
      </c>
      <c r="C919" s="31" t="s">
        <v>717</v>
      </c>
      <c r="D919" s="31">
        <v>2000</v>
      </c>
      <c r="E919" s="31">
        <v>1998</v>
      </c>
      <c r="F919" s="31" t="s">
        <v>718</v>
      </c>
      <c r="G919" s="31" t="s">
        <v>1786</v>
      </c>
      <c r="H919" s="31">
        <v>45.01</v>
      </c>
      <c r="I919" s="31">
        <v>-122.78</v>
      </c>
      <c r="J919" s="31">
        <v>78.5</v>
      </c>
      <c r="N919" s="31">
        <v>1040</v>
      </c>
      <c r="O919" s="31" t="s">
        <v>161</v>
      </c>
      <c r="P919" s="56">
        <v>3</v>
      </c>
      <c r="Q919" s="56"/>
      <c r="R919" s="56" t="s">
        <v>749</v>
      </c>
      <c r="S919" s="56" t="s">
        <v>1556</v>
      </c>
      <c r="T919" s="56" t="s">
        <v>1556</v>
      </c>
      <c r="U919" s="56" t="s">
        <v>1556</v>
      </c>
      <c r="V919" s="56" t="s">
        <v>1904</v>
      </c>
      <c r="X919" s="31">
        <v>7</v>
      </c>
      <c r="Y919" s="31">
        <v>67</v>
      </c>
      <c r="Z919" s="31" t="s">
        <v>635</v>
      </c>
      <c r="AD919" s="31" t="s">
        <v>1449</v>
      </c>
      <c r="AE919" s="31" t="s">
        <v>159</v>
      </c>
      <c r="AF919" s="152" t="s">
        <v>159</v>
      </c>
      <c r="AG919" s="31" t="s">
        <v>725</v>
      </c>
      <c r="AH919" s="155" t="s">
        <v>1793</v>
      </c>
      <c r="AI919" s="31" t="s">
        <v>728</v>
      </c>
      <c r="AJ919" s="31" t="s">
        <v>728</v>
      </c>
      <c r="AK919" s="31" t="s">
        <v>212</v>
      </c>
      <c r="AR919" s="31" t="s">
        <v>147</v>
      </c>
      <c r="AS919" s="31">
        <v>4</v>
      </c>
      <c r="AT919" s="31">
        <v>4</v>
      </c>
      <c r="AU919" s="31" t="s">
        <v>379</v>
      </c>
      <c r="EJ919" s="31">
        <v>82.63</v>
      </c>
      <c r="EK919" s="31">
        <v>101.57</v>
      </c>
      <c r="EL919" s="31" t="s">
        <v>714</v>
      </c>
      <c r="FH919" s="31">
        <v>125.77</v>
      </c>
      <c r="FI919" s="31">
        <v>173.19</v>
      </c>
      <c r="FR919" s="31" t="s">
        <v>751</v>
      </c>
      <c r="FS919" s="31" t="s">
        <v>1785</v>
      </c>
      <c r="FT919" s="31">
        <v>44</v>
      </c>
    </row>
    <row r="920" spans="1:176" s="23" customFormat="1" x14ac:dyDescent="0.25">
      <c r="A920" s="23">
        <v>44</v>
      </c>
      <c r="B920" s="23" t="s">
        <v>716</v>
      </c>
      <c r="C920" s="23" t="s">
        <v>717</v>
      </c>
      <c r="D920" s="23">
        <v>2000</v>
      </c>
      <c r="E920" s="23">
        <v>1996</v>
      </c>
      <c r="F920" s="23" t="s">
        <v>718</v>
      </c>
      <c r="G920" s="23" t="s">
        <v>723</v>
      </c>
      <c r="H920" s="23">
        <v>45.231000000000002</v>
      </c>
      <c r="I920" s="23">
        <v>-122.756</v>
      </c>
      <c r="J920" s="23">
        <v>48.4</v>
      </c>
      <c r="N920" s="23">
        <v>1040</v>
      </c>
      <c r="O920" s="23" t="s">
        <v>161</v>
      </c>
      <c r="P920" s="23">
        <v>1</v>
      </c>
      <c r="R920" s="53" t="s">
        <v>747</v>
      </c>
      <c r="S920" s="53" t="s">
        <v>1556</v>
      </c>
      <c r="T920" s="53" t="s">
        <v>1556</v>
      </c>
      <c r="U920" s="53" t="s">
        <v>1556</v>
      </c>
      <c r="V920" s="53" t="s">
        <v>1904</v>
      </c>
      <c r="W920" s="53"/>
      <c r="X920" s="23">
        <v>28</v>
      </c>
      <c r="Y920" s="23">
        <v>54</v>
      </c>
      <c r="Z920" s="23" t="s">
        <v>531</v>
      </c>
      <c r="AD920" s="23" t="s">
        <v>1449</v>
      </c>
      <c r="AE920" s="23" t="s">
        <v>889</v>
      </c>
      <c r="AF920" s="152" t="s">
        <v>1761</v>
      </c>
      <c r="AG920" s="23" t="s">
        <v>726</v>
      </c>
      <c r="AH920" s="155" t="s">
        <v>1793</v>
      </c>
      <c r="AI920" s="23" t="s">
        <v>731</v>
      </c>
      <c r="AJ920" s="23" t="s">
        <v>731</v>
      </c>
      <c r="AK920" s="23" t="s">
        <v>212</v>
      </c>
      <c r="AR920" s="23" t="s">
        <v>147</v>
      </c>
      <c r="AS920" s="23">
        <v>4</v>
      </c>
      <c r="AT920" s="23">
        <v>4</v>
      </c>
      <c r="AU920" s="23" t="s">
        <v>379</v>
      </c>
      <c r="BU920" s="31"/>
      <c r="EJ920" s="23">
        <v>54.72</v>
      </c>
      <c r="EK920" s="23">
        <v>63.83</v>
      </c>
      <c r="EL920" s="23" t="s">
        <v>714</v>
      </c>
      <c r="FH920" s="23">
        <v>58.24</v>
      </c>
      <c r="FI920" s="23">
        <v>65.680000000000007</v>
      </c>
      <c r="FR920" s="31" t="s">
        <v>751</v>
      </c>
      <c r="FS920" s="31" t="s">
        <v>1785</v>
      </c>
      <c r="FT920" s="23">
        <v>44</v>
      </c>
    </row>
    <row r="921" spans="1:176" s="23" customFormat="1" x14ac:dyDescent="0.25">
      <c r="A921" s="23">
        <v>44</v>
      </c>
      <c r="B921" s="23" t="s">
        <v>716</v>
      </c>
      <c r="C921" s="23" t="s">
        <v>717</v>
      </c>
      <c r="D921" s="23">
        <v>2000</v>
      </c>
      <c r="E921" s="23">
        <v>1997</v>
      </c>
      <c r="F921" s="23" t="s">
        <v>718</v>
      </c>
      <c r="G921" s="23" t="s">
        <v>723</v>
      </c>
      <c r="H921" s="23">
        <v>45.231000000000002</v>
      </c>
      <c r="I921" s="23">
        <v>-122.756</v>
      </c>
      <c r="J921" s="23">
        <v>48.4</v>
      </c>
      <c r="N921" s="23">
        <v>1040</v>
      </c>
      <c r="O921" s="23" t="s">
        <v>161</v>
      </c>
      <c r="P921" s="23">
        <v>2</v>
      </c>
      <c r="R921" s="53" t="s">
        <v>748</v>
      </c>
      <c r="S921" s="53" t="s">
        <v>1556</v>
      </c>
      <c r="T921" s="53" t="s">
        <v>1556</v>
      </c>
      <c r="U921" s="53" t="s">
        <v>1556</v>
      </c>
      <c r="V921" s="53" t="s">
        <v>1904</v>
      </c>
      <c r="W921" s="53"/>
      <c r="X921" s="23">
        <v>28</v>
      </c>
      <c r="Y921" s="23">
        <v>54</v>
      </c>
      <c r="Z921" s="23" t="s">
        <v>531</v>
      </c>
      <c r="AD921" s="23" t="s">
        <v>1449</v>
      </c>
      <c r="AE921" s="23" t="s">
        <v>889</v>
      </c>
      <c r="AF921" s="152" t="s">
        <v>1761</v>
      </c>
      <c r="AG921" s="23" t="s">
        <v>726</v>
      </c>
      <c r="AH921" s="155" t="s">
        <v>1793</v>
      </c>
      <c r="AI921" s="23" t="s">
        <v>731</v>
      </c>
      <c r="AJ921" s="23" t="s">
        <v>731</v>
      </c>
      <c r="AK921" s="23" t="s">
        <v>212</v>
      </c>
      <c r="AR921" s="23" t="s">
        <v>147</v>
      </c>
      <c r="AS921" s="23">
        <v>4</v>
      </c>
      <c r="AT921" s="23">
        <v>4</v>
      </c>
      <c r="AU921" s="23" t="s">
        <v>379</v>
      </c>
      <c r="BU921" s="31"/>
      <c r="EJ921" s="23">
        <v>103.23</v>
      </c>
      <c r="EK921" s="23">
        <v>85.85</v>
      </c>
      <c r="EL921" s="23" t="s">
        <v>714</v>
      </c>
      <c r="FH921" s="23">
        <v>129.22999999999999</v>
      </c>
      <c r="FI921" s="23">
        <v>84.61</v>
      </c>
      <c r="FR921" s="31" t="s">
        <v>751</v>
      </c>
      <c r="FS921" s="31" t="s">
        <v>1785</v>
      </c>
      <c r="FT921" s="23">
        <v>44</v>
      </c>
    </row>
    <row r="922" spans="1:176" s="23" customFormat="1" x14ac:dyDescent="0.25">
      <c r="A922" s="23">
        <v>44</v>
      </c>
      <c r="B922" s="23" t="s">
        <v>716</v>
      </c>
      <c r="C922" s="23" t="s">
        <v>717</v>
      </c>
      <c r="D922" s="23">
        <v>2000</v>
      </c>
      <c r="E922" s="23">
        <v>1997</v>
      </c>
      <c r="F922" s="23" t="s">
        <v>718</v>
      </c>
      <c r="G922" s="23" t="s">
        <v>723</v>
      </c>
      <c r="H922" s="23">
        <v>45.231000000000002</v>
      </c>
      <c r="I922" s="23">
        <v>-122.756</v>
      </c>
      <c r="J922" s="23">
        <v>48.4</v>
      </c>
      <c r="N922" s="23">
        <v>1040</v>
      </c>
      <c r="O922" s="23" t="s">
        <v>161</v>
      </c>
      <c r="P922" s="23">
        <v>2</v>
      </c>
      <c r="R922" s="53" t="s">
        <v>747</v>
      </c>
      <c r="S922" s="53" t="s">
        <v>1556</v>
      </c>
      <c r="T922" s="53" t="s">
        <v>1556</v>
      </c>
      <c r="U922" s="53" t="s">
        <v>1556</v>
      </c>
      <c r="V922" s="53" t="s">
        <v>1904</v>
      </c>
      <c r="W922" s="53"/>
      <c r="X922" s="23">
        <v>28</v>
      </c>
      <c r="Y922" s="23">
        <v>54</v>
      </c>
      <c r="Z922" s="23" t="s">
        <v>531</v>
      </c>
      <c r="AD922" s="23" t="s">
        <v>1449</v>
      </c>
      <c r="AE922" s="23" t="s">
        <v>889</v>
      </c>
      <c r="AF922" s="152" t="s">
        <v>1761</v>
      </c>
      <c r="AG922" s="23" t="s">
        <v>726</v>
      </c>
      <c r="AH922" s="155" t="s">
        <v>1793</v>
      </c>
      <c r="AI922" s="23" t="s">
        <v>731</v>
      </c>
      <c r="AJ922" s="23" t="s">
        <v>731</v>
      </c>
      <c r="AK922" s="23" t="s">
        <v>212</v>
      </c>
      <c r="AR922" s="23" t="s">
        <v>147</v>
      </c>
      <c r="AS922" s="23">
        <v>4</v>
      </c>
      <c r="AT922" s="23">
        <v>4</v>
      </c>
      <c r="AU922" s="23" t="s">
        <v>379</v>
      </c>
      <c r="BU922" s="31"/>
      <c r="EJ922" s="23">
        <v>57.78</v>
      </c>
      <c r="EK922" s="23">
        <v>58.6</v>
      </c>
      <c r="EL922" s="23" t="s">
        <v>714</v>
      </c>
      <c r="FH922" s="23">
        <v>70.59</v>
      </c>
      <c r="FI922" s="23">
        <v>48.29</v>
      </c>
      <c r="FR922" s="31" t="s">
        <v>751</v>
      </c>
      <c r="FS922" s="31" t="s">
        <v>1785</v>
      </c>
      <c r="FT922" s="23">
        <v>44</v>
      </c>
    </row>
    <row r="923" spans="1:176" s="23" customFormat="1" x14ac:dyDescent="0.25">
      <c r="A923" s="23">
        <v>44</v>
      </c>
      <c r="B923" s="23" t="s">
        <v>716</v>
      </c>
      <c r="C923" s="23" t="s">
        <v>717</v>
      </c>
      <c r="D923" s="23">
        <v>2000</v>
      </c>
      <c r="E923" s="23">
        <v>1997</v>
      </c>
      <c r="F923" s="23" t="s">
        <v>718</v>
      </c>
      <c r="G923" s="23" t="s">
        <v>723</v>
      </c>
      <c r="H923" s="23">
        <v>45.231000000000002</v>
      </c>
      <c r="I923" s="23">
        <v>-122.756</v>
      </c>
      <c r="J923" s="23">
        <v>48.4</v>
      </c>
      <c r="N923" s="23">
        <v>1040</v>
      </c>
      <c r="O923" s="23" t="s">
        <v>161</v>
      </c>
      <c r="P923" s="23">
        <v>2</v>
      </c>
      <c r="R923" s="53" t="s">
        <v>749</v>
      </c>
      <c r="S923" s="53" t="s">
        <v>1556</v>
      </c>
      <c r="T923" s="53" t="s">
        <v>1556</v>
      </c>
      <c r="U923" s="53" t="s">
        <v>1556</v>
      </c>
      <c r="V923" s="53" t="s">
        <v>1904</v>
      </c>
      <c r="W923" s="53"/>
      <c r="X923" s="23">
        <v>28</v>
      </c>
      <c r="Y923" s="23">
        <v>54</v>
      </c>
      <c r="Z923" s="23" t="s">
        <v>531</v>
      </c>
      <c r="AD923" s="23" t="s">
        <v>1449</v>
      </c>
      <c r="AE923" s="23" t="s">
        <v>889</v>
      </c>
      <c r="AF923" s="152" t="s">
        <v>1761</v>
      </c>
      <c r="AG923" s="23" t="s">
        <v>726</v>
      </c>
      <c r="AH923" s="155" t="s">
        <v>1793</v>
      </c>
      <c r="AI923" s="23" t="s">
        <v>731</v>
      </c>
      <c r="AJ923" s="23" t="s">
        <v>731</v>
      </c>
      <c r="AK923" s="23" t="s">
        <v>212</v>
      </c>
      <c r="AR923" s="23" t="s">
        <v>147</v>
      </c>
      <c r="AS923" s="23">
        <v>4</v>
      </c>
      <c r="AT923" s="23">
        <v>4</v>
      </c>
      <c r="AU923" s="23" t="s">
        <v>379</v>
      </c>
      <c r="BU923" s="31"/>
      <c r="EJ923" s="23">
        <v>61.58</v>
      </c>
      <c r="EK923" s="23">
        <v>65.72</v>
      </c>
      <c r="EL923" s="23" t="s">
        <v>714</v>
      </c>
      <c r="FH923" s="23">
        <v>85.28</v>
      </c>
      <c r="FI923" s="23">
        <v>66.150000000000006</v>
      </c>
      <c r="FR923" s="31" t="s">
        <v>751</v>
      </c>
      <c r="FS923" s="31" t="s">
        <v>1785</v>
      </c>
      <c r="FT923" s="23">
        <v>44</v>
      </c>
    </row>
    <row r="924" spans="1:176" s="23" customFormat="1" x14ac:dyDescent="0.25">
      <c r="A924" s="23">
        <v>44</v>
      </c>
      <c r="B924" s="23" t="s">
        <v>716</v>
      </c>
      <c r="C924" s="23" t="s">
        <v>717</v>
      </c>
      <c r="D924" s="23">
        <v>2000</v>
      </c>
      <c r="E924" s="23">
        <v>1998</v>
      </c>
      <c r="F924" s="23" t="s">
        <v>718</v>
      </c>
      <c r="G924" s="23" t="s">
        <v>723</v>
      </c>
      <c r="H924" s="23">
        <v>45.231000000000002</v>
      </c>
      <c r="I924" s="23">
        <v>-122.756</v>
      </c>
      <c r="J924" s="23">
        <v>48.4</v>
      </c>
      <c r="N924" s="23">
        <v>1040</v>
      </c>
      <c r="O924" s="23" t="s">
        <v>161</v>
      </c>
      <c r="P924" s="23">
        <v>3</v>
      </c>
      <c r="R924" s="53" t="s">
        <v>748</v>
      </c>
      <c r="S924" s="53" t="s">
        <v>1556</v>
      </c>
      <c r="T924" s="53" t="s">
        <v>1556</v>
      </c>
      <c r="U924" s="53" t="s">
        <v>1556</v>
      </c>
      <c r="V924" s="53" t="s">
        <v>1904</v>
      </c>
      <c r="W924" s="53"/>
      <c r="X924" s="23">
        <v>28</v>
      </c>
      <c r="Y924" s="23">
        <v>54</v>
      </c>
      <c r="Z924" s="23" t="s">
        <v>531</v>
      </c>
      <c r="AD924" s="23" t="s">
        <v>1449</v>
      </c>
      <c r="AE924" s="23" t="s">
        <v>889</v>
      </c>
      <c r="AF924" s="152" t="s">
        <v>1761</v>
      </c>
      <c r="AG924" s="23" t="s">
        <v>726</v>
      </c>
      <c r="AH924" s="155" t="s">
        <v>1793</v>
      </c>
      <c r="AI924" s="23" t="s">
        <v>731</v>
      </c>
      <c r="AJ924" s="23" t="s">
        <v>731</v>
      </c>
      <c r="AK924" s="23" t="s">
        <v>212</v>
      </c>
      <c r="AR924" s="23" t="s">
        <v>147</v>
      </c>
      <c r="AS924" s="23">
        <v>4</v>
      </c>
      <c r="AT924" s="23">
        <v>4</v>
      </c>
      <c r="AU924" s="23" t="s">
        <v>379</v>
      </c>
      <c r="BU924" s="31"/>
      <c r="EJ924" s="23">
        <v>69.11</v>
      </c>
      <c r="EK924" s="23">
        <v>69.11</v>
      </c>
      <c r="EL924" s="23" t="s">
        <v>714</v>
      </c>
      <c r="FH924" s="23">
        <v>102.08</v>
      </c>
      <c r="FI924" s="23">
        <v>64.88</v>
      </c>
      <c r="FR924" s="31" t="s">
        <v>751</v>
      </c>
      <c r="FS924" s="31" t="s">
        <v>1785</v>
      </c>
      <c r="FT924" s="23">
        <v>44</v>
      </c>
    </row>
    <row r="925" spans="1:176" s="23" customFormat="1" x14ac:dyDescent="0.25">
      <c r="A925" s="23">
        <v>44</v>
      </c>
      <c r="B925" s="23" t="s">
        <v>716</v>
      </c>
      <c r="C925" s="23" t="s">
        <v>717</v>
      </c>
      <c r="D925" s="23">
        <v>2000</v>
      </c>
      <c r="E925" s="23">
        <v>1998</v>
      </c>
      <c r="F925" s="23" t="s">
        <v>718</v>
      </c>
      <c r="G925" s="23" t="s">
        <v>723</v>
      </c>
      <c r="H925" s="23">
        <v>45.231000000000002</v>
      </c>
      <c r="I925" s="23">
        <v>-122.756</v>
      </c>
      <c r="J925" s="23">
        <v>48.4</v>
      </c>
      <c r="N925" s="23">
        <v>1040</v>
      </c>
      <c r="O925" s="23" t="s">
        <v>161</v>
      </c>
      <c r="P925" s="23">
        <v>3</v>
      </c>
      <c r="R925" s="53" t="s">
        <v>747</v>
      </c>
      <c r="S925" s="53" t="s">
        <v>1556</v>
      </c>
      <c r="T925" s="53" t="s">
        <v>1556</v>
      </c>
      <c r="U925" s="53" t="s">
        <v>1556</v>
      </c>
      <c r="V925" s="53" t="s">
        <v>1904</v>
      </c>
      <c r="W925" s="53"/>
      <c r="X925" s="23">
        <v>28</v>
      </c>
      <c r="Y925" s="23">
        <v>54</v>
      </c>
      <c r="Z925" s="23" t="s">
        <v>531</v>
      </c>
      <c r="AD925" s="23" t="s">
        <v>1449</v>
      </c>
      <c r="AE925" s="23" t="s">
        <v>889</v>
      </c>
      <c r="AF925" s="152" t="s">
        <v>1761</v>
      </c>
      <c r="AG925" s="23" t="s">
        <v>726</v>
      </c>
      <c r="AH925" s="155" t="s">
        <v>1793</v>
      </c>
      <c r="AI925" s="23" t="s">
        <v>731</v>
      </c>
      <c r="AJ925" s="23" t="s">
        <v>731</v>
      </c>
      <c r="AK925" s="23" t="s">
        <v>212</v>
      </c>
      <c r="AR925" s="23" t="s">
        <v>147</v>
      </c>
      <c r="AS925" s="23">
        <v>4</v>
      </c>
      <c r="AT925" s="23">
        <v>4</v>
      </c>
      <c r="AU925" s="23" t="s">
        <v>379</v>
      </c>
      <c r="BU925" s="31"/>
      <c r="EJ925" s="23">
        <v>64.63</v>
      </c>
      <c r="EK925" s="23">
        <v>64.63</v>
      </c>
      <c r="EL925" s="23" t="s">
        <v>714</v>
      </c>
      <c r="FH925" s="23">
        <v>76.38</v>
      </c>
      <c r="FI925" s="23">
        <v>76.38</v>
      </c>
      <c r="FR925" s="31" t="s">
        <v>751</v>
      </c>
      <c r="FS925" s="31" t="s">
        <v>1785</v>
      </c>
      <c r="FT925" s="23">
        <v>44</v>
      </c>
    </row>
    <row r="926" spans="1:176" s="23" customFormat="1" x14ac:dyDescent="0.25">
      <c r="A926" s="23">
        <v>44</v>
      </c>
      <c r="B926" s="23" t="s">
        <v>716</v>
      </c>
      <c r="C926" s="23" t="s">
        <v>717</v>
      </c>
      <c r="D926" s="23">
        <v>2000</v>
      </c>
      <c r="E926" s="23">
        <v>1998</v>
      </c>
      <c r="F926" s="23" t="s">
        <v>718</v>
      </c>
      <c r="G926" s="23" t="s">
        <v>723</v>
      </c>
      <c r="H926" s="23">
        <v>45.231000000000002</v>
      </c>
      <c r="I926" s="23">
        <v>-122.756</v>
      </c>
      <c r="J926" s="23">
        <v>48.4</v>
      </c>
      <c r="N926" s="23">
        <v>1040</v>
      </c>
      <c r="O926" s="23" t="s">
        <v>161</v>
      </c>
      <c r="P926" s="23">
        <v>3</v>
      </c>
      <c r="R926" s="53" t="s">
        <v>749</v>
      </c>
      <c r="S926" s="53" t="s">
        <v>1556</v>
      </c>
      <c r="T926" s="53" t="s">
        <v>1556</v>
      </c>
      <c r="U926" s="53" t="s">
        <v>1556</v>
      </c>
      <c r="V926" s="53" t="s">
        <v>1904</v>
      </c>
      <c r="W926" s="53"/>
      <c r="X926" s="23">
        <v>28</v>
      </c>
      <c r="Y926" s="23">
        <v>54</v>
      </c>
      <c r="Z926" s="23" t="s">
        <v>531</v>
      </c>
      <c r="AD926" s="23" t="s">
        <v>1449</v>
      </c>
      <c r="AE926" s="23" t="s">
        <v>889</v>
      </c>
      <c r="AF926" s="152" t="s">
        <v>1761</v>
      </c>
      <c r="AG926" s="23" t="s">
        <v>726</v>
      </c>
      <c r="AH926" s="155" t="s">
        <v>1793</v>
      </c>
      <c r="AI926" s="23" t="s">
        <v>731</v>
      </c>
      <c r="AJ926" s="23" t="s">
        <v>731</v>
      </c>
      <c r="AK926" s="23" t="s">
        <v>212</v>
      </c>
      <c r="AR926" s="23" t="s">
        <v>147</v>
      </c>
      <c r="AS926" s="23">
        <v>4</v>
      </c>
      <c r="AT926" s="23">
        <v>4</v>
      </c>
      <c r="AU926" s="23" t="s">
        <v>379</v>
      </c>
      <c r="BU926" s="31"/>
      <c r="EJ926" s="23">
        <v>63.47</v>
      </c>
      <c r="EK926" s="23">
        <v>65.540000000000006</v>
      </c>
      <c r="EL926" s="23" t="s">
        <v>714</v>
      </c>
      <c r="FH926" s="23">
        <v>71.930000000000007</v>
      </c>
      <c r="FI926" s="23">
        <v>48.55</v>
      </c>
      <c r="FR926" s="31" t="s">
        <v>751</v>
      </c>
      <c r="FS926" s="31" t="s">
        <v>1785</v>
      </c>
      <c r="FT926" s="23">
        <v>44</v>
      </c>
    </row>
    <row r="927" spans="1:176" s="38" customFormat="1" x14ac:dyDescent="0.25">
      <c r="A927" s="38">
        <v>44</v>
      </c>
      <c r="B927" s="38" t="s">
        <v>716</v>
      </c>
      <c r="C927" s="38" t="s">
        <v>717</v>
      </c>
      <c r="D927" s="38">
        <v>2000</v>
      </c>
      <c r="E927" s="38">
        <v>1996</v>
      </c>
      <c r="F927" s="38" t="s">
        <v>718</v>
      </c>
      <c r="G927" s="38" t="s">
        <v>723</v>
      </c>
      <c r="H927" s="38">
        <v>45.231000000000002</v>
      </c>
      <c r="I927" s="38">
        <v>-122.756</v>
      </c>
      <c r="J927" s="38">
        <v>48.4</v>
      </c>
      <c r="N927" s="38">
        <v>1040</v>
      </c>
      <c r="O927" s="38" t="s">
        <v>161</v>
      </c>
      <c r="P927" s="38">
        <v>1</v>
      </c>
      <c r="R927" s="56" t="s">
        <v>747</v>
      </c>
      <c r="S927" s="57" t="s">
        <v>1556</v>
      </c>
      <c r="T927" s="57" t="s">
        <v>1556</v>
      </c>
      <c r="U927" s="57" t="s">
        <v>1556</v>
      </c>
      <c r="V927" s="57" t="s">
        <v>1904</v>
      </c>
      <c r="W927" s="57"/>
      <c r="X927" s="38">
        <v>28</v>
      </c>
      <c r="Y927" s="38">
        <v>54</v>
      </c>
      <c r="Z927" s="38" t="s">
        <v>531</v>
      </c>
      <c r="AD927" s="38" t="s">
        <v>1449</v>
      </c>
      <c r="AE927" s="38" t="s">
        <v>1755</v>
      </c>
      <c r="AF927" s="152" t="s">
        <v>1762</v>
      </c>
      <c r="AG927" s="38" t="s">
        <v>726</v>
      </c>
      <c r="AH927" s="155" t="s">
        <v>1793</v>
      </c>
      <c r="AI927" s="38" t="s">
        <v>731</v>
      </c>
      <c r="AJ927" s="38" t="s">
        <v>731</v>
      </c>
      <c r="AK927" s="38" t="s">
        <v>212</v>
      </c>
      <c r="AR927" s="38" t="s">
        <v>147</v>
      </c>
      <c r="AS927" s="38">
        <v>4</v>
      </c>
      <c r="AT927" s="38">
        <v>4</v>
      </c>
      <c r="AU927" s="38" t="s">
        <v>379</v>
      </c>
      <c r="EJ927" s="38">
        <v>54.72</v>
      </c>
      <c r="EK927" s="38">
        <v>61.34</v>
      </c>
      <c r="EL927" s="38" t="s">
        <v>714</v>
      </c>
      <c r="FH927" s="38">
        <v>58.24</v>
      </c>
      <c r="FI927" s="38">
        <v>65.680000000000007</v>
      </c>
      <c r="FR927" s="31" t="s">
        <v>751</v>
      </c>
      <c r="FS927" s="31" t="s">
        <v>1785</v>
      </c>
      <c r="FT927" s="38">
        <v>44</v>
      </c>
    </row>
    <row r="928" spans="1:176" s="38" customFormat="1" x14ac:dyDescent="0.25">
      <c r="A928" s="38">
        <v>44</v>
      </c>
      <c r="B928" s="38" t="s">
        <v>716</v>
      </c>
      <c r="C928" s="38" t="s">
        <v>717</v>
      </c>
      <c r="D928" s="38">
        <v>2000</v>
      </c>
      <c r="E928" s="38">
        <v>1997</v>
      </c>
      <c r="F928" s="38" t="s">
        <v>718</v>
      </c>
      <c r="G928" s="38" t="s">
        <v>723</v>
      </c>
      <c r="H928" s="38">
        <v>45.231000000000002</v>
      </c>
      <c r="I928" s="38">
        <v>-122.756</v>
      </c>
      <c r="J928" s="38">
        <v>48.4</v>
      </c>
      <c r="N928" s="38">
        <v>1040</v>
      </c>
      <c r="O928" s="38" t="s">
        <v>161</v>
      </c>
      <c r="P928" s="38">
        <v>2</v>
      </c>
      <c r="R928" s="56" t="s">
        <v>748</v>
      </c>
      <c r="S928" s="57" t="s">
        <v>1556</v>
      </c>
      <c r="T928" s="57" t="s">
        <v>1556</v>
      </c>
      <c r="U928" s="57" t="s">
        <v>1556</v>
      </c>
      <c r="V928" s="57" t="s">
        <v>1904</v>
      </c>
      <c r="W928" s="57"/>
      <c r="X928" s="38">
        <v>28</v>
      </c>
      <c r="Y928" s="38">
        <v>54</v>
      </c>
      <c r="Z928" s="38" t="s">
        <v>531</v>
      </c>
      <c r="AD928" s="38" t="s">
        <v>1449</v>
      </c>
      <c r="AE928" s="38" t="s">
        <v>1755</v>
      </c>
      <c r="AF928" s="152" t="s">
        <v>1762</v>
      </c>
      <c r="AG928" s="38" t="s">
        <v>726</v>
      </c>
      <c r="AH928" s="155" t="s">
        <v>1793</v>
      </c>
      <c r="AI928" s="38" t="s">
        <v>731</v>
      </c>
      <c r="AJ928" s="38" t="s">
        <v>731</v>
      </c>
      <c r="AK928" s="38" t="s">
        <v>212</v>
      </c>
      <c r="AR928" s="38" t="s">
        <v>147</v>
      </c>
      <c r="AS928" s="38">
        <v>4</v>
      </c>
      <c r="AT928" s="38">
        <v>4</v>
      </c>
      <c r="AU928" s="38" t="s">
        <v>379</v>
      </c>
      <c r="EJ928" s="38">
        <v>103.23</v>
      </c>
      <c r="EK928" s="38">
        <v>80.47</v>
      </c>
      <c r="EL928" s="38" t="s">
        <v>714</v>
      </c>
      <c r="FH928" s="38">
        <v>129.22999999999999</v>
      </c>
      <c r="FI928" s="38">
        <v>134.54</v>
      </c>
      <c r="FR928" s="31" t="s">
        <v>751</v>
      </c>
      <c r="FS928" s="31" t="s">
        <v>1785</v>
      </c>
      <c r="FT928" s="38">
        <v>44</v>
      </c>
    </row>
    <row r="929" spans="1:176" s="38" customFormat="1" x14ac:dyDescent="0.25">
      <c r="A929" s="38">
        <v>44</v>
      </c>
      <c r="B929" s="38" t="s">
        <v>716</v>
      </c>
      <c r="C929" s="38" t="s">
        <v>717</v>
      </c>
      <c r="D929" s="38">
        <v>2000</v>
      </c>
      <c r="E929" s="38">
        <v>1997</v>
      </c>
      <c r="F929" s="38" t="s">
        <v>718</v>
      </c>
      <c r="G929" s="38" t="s">
        <v>723</v>
      </c>
      <c r="H929" s="38">
        <v>45.231000000000002</v>
      </c>
      <c r="I929" s="38">
        <v>-122.756</v>
      </c>
      <c r="J929" s="38">
        <v>48.4</v>
      </c>
      <c r="N929" s="38">
        <v>1040</v>
      </c>
      <c r="O929" s="38" t="s">
        <v>161</v>
      </c>
      <c r="P929" s="38">
        <v>2</v>
      </c>
      <c r="R929" s="56" t="s">
        <v>747</v>
      </c>
      <c r="S929" s="57" t="s">
        <v>1556</v>
      </c>
      <c r="T929" s="57" t="s">
        <v>1556</v>
      </c>
      <c r="U929" s="57" t="s">
        <v>1556</v>
      </c>
      <c r="V929" s="57" t="s">
        <v>1904</v>
      </c>
      <c r="W929" s="57"/>
      <c r="X929" s="38">
        <v>28</v>
      </c>
      <c r="Y929" s="38">
        <v>54</v>
      </c>
      <c r="Z929" s="38" t="s">
        <v>531</v>
      </c>
      <c r="AD929" s="38" t="s">
        <v>1449</v>
      </c>
      <c r="AE929" s="38" t="s">
        <v>1755</v>
      </c>
      <c r="AF929" s="152" t="s">
        <v>1762</v>
      </c>
      <c r="AG929" s="38" t="s">
        <v>726</v>
      </c>
      <c r="AH929" s="155" t="s">
        <v>1793</v>
      </c>
      <c r="AI929" s="38" t="s">
        <v>731</v>
      </c>
      <c r="AJ929" s="38" t="s">
        <v>731</v>
      </c>
      <c r="AK929" s="38" t="s">
        <v>212</v>
      </c>
      <c r="AR929" s="38" t="s">
        <v>147</v>
      </c>
      <c r="AS929" s="38">
        <v>4</v>
      </c>
      <c r="AT929" s="38">
        <v>4</v>
      </c>
      <c r="AU929" s="38" t="s">
        <v>379</v>
      </c>
      <c r="EJ929" s="38">
        <v>57.78</v>
      </c>
      <c r="EK929" s="38">
        <v>66.88</v>
      </c>
      <c r="EL929" s="38" t="s">
        <v>714</v>
      </c>
      <c r="FH929" s="38">
        <v>70.59</v>
      </c>
      <c r="FI929" s="38">
        <v>81.22</v>
      </c>
      <c r="FR929" s="31" t="s">
        <v>751</v>
      </c>
      <c r="FS929" s="31" t="s">
        <v>1785</v>
      </c>
      <c r="FT929" s="38">
        <v>44</v>
      </c>
    </row>
    <row r="930" spans="1:176" s="38" customFormat="1" x14ac:dyDescent="0.25">
      <c r="A930" s="38">
        <v>44</v>
      </c>
      <c r="B930" s="38" t="s">
        <v>716</v>
      </c>
      <c r="C930" s="38" t="s">
        <v>717</v>
      </c>
      <c r="D930" s="38">
        <v>2000</v>
      </c>
      <c r="E930" s="38">
        <v>1997</v>
      </c>
      <c r="F930" s="38" t="s">
        <v>718</v>
      </c>
      <c r="G930" s="38" t="s">
        <v>723</v>
      </c>
      <c r="H930" s="38">
        <v>45.231000000000002</v>
      </c>
      <c r="I930" s="38">
        <v>-122.756</v>
      </c>
      <c r="J930" s="38">
        <v>48.4</v>
      </c>
      <c r="N930" s="38">
        <v>1040</v>
      </c>
      <c r="O930" s="38" t="s">
        <v>161</v>
      </c>
      <c r="P930" s="38">
        <v>2</v>
      </c>
      <c r="R930" s="56" t="s">
        <v>749</v>
      </c>
      <c r="S930" s="57" t="s">
        <v>1556</v>
      </c>
      <c r="T930" s="57" t="s">
        <v>1556</v>
      </c>
      <c r="U930" s="57" t="s">
        <v>1556</v>
      </c>
      <c r="V930" s="57" t="s">
        <v>1904</v>
      </c>
      <c r="W930" s="57"/>
      <c r="X930" s="38">
        <v>28</v>
      </c>
      <c r="Y930" s="38">
        <v>54</v>
      </c>
      <c r="Z930" s="38" t="s">
        <v>531</v>
      </c>
      <c r="AD930" s="38" t="s">
        <v>1449</v>
      </c>
      <c r="AE930" s="38" t="s">
        <v>1755</v>
      </c>
      <c r="AF930" s="152" t="s">
        <v>1762</v>
      </c>
      <c r="AG930" s="38" t="s">
        <v>726</v>
      </c>
      <c r="AH930" s="155" t="s">
        <v>1793</v>
      </c>
      <c r="AI930" s="38" t="s">
        <v>731</v>
      </c>
      <c r="AJ930" s="38" t="s">
        <v>731</v>
      </c>
      <c r="AK930" s="38" t="s">
        <v>212</v>
      </c>
      <c r="AR930" s="38" t="s">
        <v>147</v>
      </c>
      <c r="AS930" s="38">
        <v>4</v>
      </c>
      <c r="AT930" s="38">
        <v>4</v>
      </c>
      <c r="AU930" s="38" t="s">
        <v>379</v>
      </c>
      <c r="EJ930" s="38">
        <v>61.58</v>
      </c>
      <c r="EK930" s="38">
        <v>83.11</v>
      </c>
      <c r="EL930" s="38" t="s">
        <v>714</v>
      </c>
      <c r="FH930" s="38">
        <v>85.28</v>
      </c>
      <c r="FI930" s="38">
        <v>111.84</v>
      </c>
      <c r="FR930" s="31" t="s">
        <v>751</v>
      </c>
      <c r="FS930" s="31" t="s">
        <v>1785</v>
      </c>
      <c r="FT930" s="38">
        <v>44</v>
      </c>
    </row>
    <row r="931" spans="1:176" s="38" customFormat="1" x14ac:dyDescent="0.25">
      <c r="A931" s="38">
        <v>44</v>
      </c>
      <c r="B931" s="38" t="s">
        <v>716</v>
      </c>
      <c r="C931" s="38" t="s">
        <v>717</v>
      </c>
      <c r="D931" s="38">
        <v>2000</v>
      </c>
      <c r="E931" s="38">
        <v>1998</v>
      </c>
      <c r="F931" s="38" t="s">
        <v>718</v>
      </c>
      <c r="G931" s="38" t="s">
        <v>723</v>
      </c>
      <c r="H931" s="38">
        <v>45.231000000000002</v>
      </c>
      <c r="I931" s="38">
        <v>-122.756</v>
      </c>
      <c r="J931" s="38">
        <v>48.4</v>
      </c>
      <c r="N931" s="38">
        <v>1040</v>
      </c>
      <c r="O931" s="38" t="s">
        <v>161</v>
      </c>
      <c r="P931" s="38">
        <v>3</v>
      </c>
      <c r="R931" s="56" t="s">
        <v>748</v>
      </c>
      <c r="S931" s="57" t="s">
        <v>1556</v>
      </c>
      <c r="T931" s="57" t="s">
        <v>1556</v>
      </c>
      <c r="U931" s="57" t="s">
        <v>1556</v>
      </c>
      <c r="V931" s="57" t="s">
        <v>1904</v>
      </c>
      <c r="W931" s="57"/>
      <c r="X931" s="38">
        <v>28</v>
      </c>
      <c r="Y931" s="38">
        <v>54</v>
      </c>
      <c r="Z931" s="38" t="s">
        <v>531</v>
      </c>
      <c r="AD931" s="38" t="s">
        <v>1449</v>
      </c>
      <c r="AE931" s="38" t="s">
        <v>1755</v>
      </c>
      <c r="AF931" s="152" t="s">
        <v>1762</v>
      </c>
      <c r="AG931" s="38" t="s">
        <v>726</v>
      </c>
      <c r="AH931" s="155" t="s">
        <v>1793</v>
      </c>
      <c r="AI931" s="38" t="s">
        <v>731</v>
      </c>
      <c r="AJ931" s="38" t="s">
        <v>731</v>
      </c>
      <c r="AK931" s="38" t="s">
        <v>212</v>
      </c>
      <c r="AR931" s="38" t="s">
        <v>147</v>
      </c>
      <c r="AS931" s="38">
        <v>4</v>
      </c>
      <c r="AT931" s="38">
        <v>4</v>
      </c>
      <c r="AU931" s="38" t="s">
        <v>379</v>
      </c>
      <c r="EJ931" s="38">
        <v>69.11</v>
      </c>
      <c r="EK931" s="38">
        <v>98.9</v>
      </c>
      <c r="EL931" s="38" t="s">
        <v>714</v>
      </c>
      <c r="FH931" s="38">
        <v>102.08</v>
      </c>
      <c r="FI931" s="38">
        <v>145.63999999999999</v>
      </c>
      <c r="FR931" s="31" t="s">
        <v>751</v>
      </c>
      <c r="FS931" s="31" t="s">
        <v>1785</v>
      </c>
      <c r="FT931" s="38">
        <v>44</v>
      </c>
    </row>
    <row r="932" spans="1:176" s="38" customFormat="1" x14ac:dyDescent="0.25">
      <c r="A932" s="38">
        <v>44</v>
      </c>
      <c r="B932" s="38" t="s">
        <v>716</v>
      </c>
      <c r="C932" s="38" t="s">
        <v>717</v>
      </c>
      <c r="D932" s="38">
        <v>2000</v>
      </c>
      <c r="E932" s="38">
        <v>1998</v>
      </c>
      <c r="F932" s="38" t="s">
        <v>718</v>
      </c>
      <c r="G932" s="38" t="s">
        <v>723</v>
      </c>
      <c r="H932" s="38">
        <v>45.231000000000002</v>
      </c>
      <c r="I932" s="38">
        <v>-122.756</v>
      </c>
      <c r="J932" s="38">
        <v>48.4</v>
      </c>
      <c r="N932" s="38">
        <v>1040</v>
      </c>
      <c r="O932" s="38" t="s">
        <v>161</v>
      </c>
      <c r="P932" s="38">
        <v>3</v>
      </c>
      <c r="R932" s="56" t="s">
        <v>747</v>
      </c>
      <c r="S932" s="57" t="s">
        <v>1556</v>
      </c>
      <c r="T932" s="57" t="s">
        <v>1556</v>
      </c>
      <c r="U932" s="57" t="s">
        <v>1556</v>
      </c>
      <c r="V932" s="57" t="s">
        <v>1904</v>
      </c>
      <c r="W932" s="57"/>
      <c r="X932" s="38">
        <v>28</v>
      </c>
      <c r="Y932" s="38">
        <v>54</v>
      </c>
      <c r="Z932" s="38" t="s">
        <v>531</v>
      </c>
      <c r="AD932" s="38" t="s">
        <v>1449</v>
      </c>
      <c r="AE932" s="38" t="s">
        <v>1755</v>
      </c>
      <c r="AF932" s="152" t="s">
        <v>1762</v>
      </c>
      <c r="AG932" s="38" t="s">
        <v>726</v>
      </c>
      <c r="AH932" s="155" t="s">
        <v>1793</v>
      </c>
      <c r="AI932" s="38" t="s">
        <v>731</v>
      </c>
      <c r="AJ932" s="38" t="s">
        <v>731</v>
      </c>
      <c r="AK932" s="38" t="s">
        <v>212</v>
      </c>
      <c r="AR932" s="38" t="s">
        <v>147</v>
      </c>
      <c r="AS932" s="38">
        <v>4</v>
      </c>
      <c r="AT932" s="38">
        <v>4</v>
      </c>
      <c r="AU932" s="38" t="s">
        <v>379</v>
      </c>
      <c r="EJ932" s="38">
        <v>64.63</v>
      </c>
      <c r="EK932" s="38">
        <v>77.459999999999994</v>
      </c>
      <c r="EL932" s="38" t="s">
        <v>714</v>
      </c>
      <c r="FH932" s="38">
        <v>76.38</v>
      </c>
      <c r="FI932" s="38">
        <v>95.5</v>
      </c>
      <c r="FR932" s="31" t="s">
        <v>751</v>
      </c>
      <c r="FS932" s="31" t="s">
        <v>1785</v>
      </c>
      <c r="FT932" s="38">
        <v>44</v>
      </c>
    </row>
    <row r="933" spans="1:176" s="38" customFormat="1" x14ac:dyDescent="0.25">
      <c r="A933" s="38">
        <v>44</v>
      </c>
      <c r="B933" s="38" t="s">
        <v>716</v>
      </c>
      <c r="C933" s="38" t="s">
        <v>717</v>
      </c>
      <c r="D933" s="38">
        <v>2000</v>
      </c>
      <c r="E933" s="38">
        <v>1998</v>
      </c>
      <c r="F933" s="38" t="s">
        <v>718</v>
      </c>
      <c r="G933" s="38" t="s">
        <v>723</v>
      </c>
      <c r="H933" s="38">
        <v>45.231000000000002</v>
      </c>
      <c r="I933" s="38">
        <v>-122.756</v>
      </c>
      <c r="J933" s="38">
        <v>48.4</v>
      </c>
      <c r="N933" s="38">
        <v>1040</v>
      </c>
      <c r="O933" s="38" t="s">
        <v>161</v>
      </c>
      <c r="P933" s="38">
        <v>3</v>
      </c>
      <c r="R933" s="56" t="s">
        <v>749</v>
      </c>
      <c r="S933" s="57" t="s">
        <v>1556</v>
      </c>
      <c r="T933" s="57" t="s">
        <v>1556</v>
      </c>
      <c r="U933" s="57" t="s">
        <v>1556</v>
      </c>
      <c r="V933" s="57" t="s">
        <v>1904</v>
      </c>
      <c r="W933" s="57"/>
      <c r="X933" s="38">
        <v>28</v>
      </c>
      <c r="Y933" s="38">
        <v>54</v>
      </c>
      <c r="Z933" s="38" t="s">
        <v>531</v>
      </c>
      <c r="AD933" s="38" t="s">
        <v>1449</v>
      </c>
      <c r="AE933" s="38" t="s">
        <v>1755</v>
      </c>
      <c r="AF933" s="152" t="s">
        <v>1762</v>
      </c>
      <c r="AG933" s="38" t="s">
        <v>726</v>
      </c>
      <c r="AH933" s="155" t="s">
        <v>1793</v>
      </c>
      <c r="AI933" s="38" t="s">
        <v>731</v>
      </c>
      <c r="AJ933" s="38" t="s">
        <v>731</v>
      </c>
      <c r="AK933" s="38" t="s">
        <v>212</v>
      </c>
      <c r="AR933" s="38" t="s">
        <v>147</v>
      </c>
      <c r="AS933" s="38">
        <v>4</v>
      </c>
      <c r="AT933" s="38">
        <v>4</v>
      </c>
      <c r="AU933" s="38" t="s">
        <v>379</v>
      </c>
      <c r="EJ933" s="38">
        <v>63.47</v>
      </c>
      <c r="EK933" s="38">
        <v>80</v>
      </c>
      <c r="EL933" s="38" t="s">
        <v>714</v>
      </c>
      <c r="FH933" s="38">
        <v>71.930000000000007</v>
      </c>
      <c r="FI933" s="38">
        <v>91.05</v>
      </c>
      <c r="FR933" s="31" t="s">
        <v>751</v>
      </c>
      <c r="FS933" s="31" t="s">
        <v>1785</v>
      </c>
      <c r="FT933" s="38">
        <v>44</v>
      </c>
    </row>
    <row r="934" spans="1:176" s="23" customFormat="1" x14ac:dyDescent="0.25">
      <c r="A934" s="23">
        <v>44</v>
      </c>
      <c r="B934" s="23" t="s">
        <v>716</v>
      </c>
      <c r="C934" s="23" t="s">
        <v>717</v>
      </c>
      <c r="D934" s="23">
        <v>2000</v>
      </c>
      <c r="E934" s="23">
        <v>1996</v>
      </c>
      <c r="F934" s="23" t="s">
        <v>718</v>
      </c>
      <c r="G934" s="23" t="s">
        <v>724</v>
      </c>
      <c r="H934" s="23">
        <v>44.94</v>
      </c>
      <c r="I934" s="23">
        <v>-122.93</v>
      </c>
      <c r="J934" s="23">
        <v>66.5</v>
      </c>
      <c r="N934" s="23">
        <v>1040</v>
      </c>
      <c r="O934" s="23" t="s">
        <v>161</v>
      </c>
      <c r="P934" s="23">
        <v>1</v>
      </c>
      <c r="R934" s="53" t="s">
        <v>747</v>
      </c>
      <c r="S934" s="53" t="s">
        <v>1556</v>
      </c>
      <c r="T934" s="53" t="s">
        <v>1556</v>
      </c>
      <c r="U934" s="53" t="s">
        <v>1556</v>
      </c>
      <c r="V934" s="53" t="s">
        <v>1904</v>
      </c>
      <c r="X934" s="23">
        <v>22</v>
      </c>
      <c r="Y934" s="23">
        <v>52</v>
      </c>
      <c r="Z934" s="23" t="s">
        <v>531</v>
      </c>
      <c r="AD934" s="23" t="s">
        <v>1449</v>
      </c>
      <c r="AE934" s="23" t="s">
        <v>727</v>
      </c>
      <c r="AF934" s="152" t="s">
        <v>727</v>
      </c>
      <c r="AG934" s="23" t="s">
        <v>160</v>
      </c>
      <c r="AH934" s="155" t="s">
        <v>1793</v>
      </c>
      <c r="AI934" s="23" t="s">
        <v>732</v>
      </c>
      <c r="AJ934" s="23" t="s">
        <v>732</v>
      </c>
      <c r="AK934" s="23" t="s">
        <v>212</v>
      </c>
      <c r="AR934" s="23" t="s">
        <v>147</v>
      </c>
      <c r="AS934" s="23">
        <v>4</v>
      </c>
      <c r="AT934" s="23">
        <v>4</v>
      </c>
      <c r="AU934" s="23" t="s">
        <v>379</v>
      </c>
      <c r="BU934" s="31"/>
      <c r="EJ934" s="23">
        <v>62.61</v>
      </c>
      <c r="EK934" s="23">
        <v>109.32</v>
      </c>
      <c r="EL934" s="23" t="s">
        <v>714</v>
      </c>
      <c r="FH934" s="23">
        <v>71.44</v>
      </c>
      <c r="FI934" s="23">
        <v>113.75</v>
      </c>
      <c r="FR934" s="31" t="s">
        <v>751</v>
      </c>
      <c r="FS934" s="31" t="s">
        <v>1785</v>
      </c>
      <c r="FT934" s="23">
        <v>44</v>
      </c>
    </row>
    <row r="935" spans="1:176" s="23" customFormat="1" x14ac:dyDescent="0.25">
      <c r="A935" s="23">
        <v>44</v>
      </c>
      <c r="B935" s="23" t="s">
        <v>716</v>
      </c>
      <c r="C935" s="23" t="s">
        <v>717</v>
      </c>
      <c r="D935" s="23">
        <v>2000</v>
      </c>
      <c r="E935" s="23">
        <v>1997</v>
      </c>
      <c r="F935" s="23" t="s">
        <v>718</v>
      </c>
      <c r="G935" s="23" t="s">
        <v>724</v>
      </c>
      <c r="H935" s="23">
        <v>44.94</v>
      </c>
      <c r="I935" s="23">
        <v>-122.93</v>
      </c>
      <c r="J935" s="23">
        <v>66.5</v>
      </c>
      <c r="N935" s="23">
        <v>1040</v>
      </c>
      <c r="O935" s="23" t="s">
        <v>161</v>
      </c>
      <c r="P935" s="23">
        <v>2</v>
      </c>
      <c r="R935" s="53" t="s">
        <v>748</v>
      </c>
      <c r="S935" s="53" t="s">
        <v>1556</v>
      </c>
      <c r="T935" s="53" t="s">
        <v>1556</v>
      </c>
      <c r="U935" s="53" t="s">
        <v>1556</v>
      </c>
      <c r="V935" s="53" t="s">
        <v>1904</v>
      </c>
      <c r="X935" s="23">
        <v>22</v>
      </c>
      <c r="Y935" s="23">
        <v>52</v>
      </c>
      <c r="Z935" s="23" t="s">
        <v>531</v>
      </c>
      <c r="AD935" s="23" t="s">
        <v>1449</v>
      </c>
      <c r="AE935" s="23" t="s">
        <v>727</v>
      </c>
      <c r="AF935" s="152" t="s">
        <v>727</v>
      </c>
      <c r="AG935" s="23" t="s">
        <v>160</v>
      </c>
      <c r="AH935" s="155" t="s">
        <v>1793</v>
      </c>
      <c r="AI935" s="23" t="s">
        <v>732</v>
      </c>
      <c r="AJ935" s="23" t="s">
        <v>732</v>
      </c>
      <c r="AK935" s="23" t="s">
        <v>212</v>
      </c>
      <c r="AR935" s="23" t="s">
        <v>147</v>
      </c>
      <c r="AS935" s="23">
        <v>4</v>
      </c>
      <c r="AT935" s="23">
        <v>4</v>
      </c>
      <c r="AU935" s="23" t="s">
        <v>379</v>
      </c>
      <c r="BU935" s="31"/>
      <c r="EJ935" s="23">
        <v>104.33</v>
      </c>
      <c r="EK935" s="23">
        <v>151.44999999999999</v>
      </c>
      <c r="EL935" s="23" t="s">
        <v>714</v>
      </c>
      <c r="FH935" s="23">
        <v>118.58</v>
      </c>
      <c r="FI935" s="23">
        <v>199.99</v>
      </c>
      <c r="FR935" s="31" t="s">
        <v>751</v>
      </c>
      <c r="FS935" s="31" t="s">
        <v>1785</v>
      </c>
      <c r="FT935" s="23">
        <v>44</v>
      </c>
    </row>
    <row r="936" spans="1:176" s="23" customFormat="1" x14ac:dyDescent="0.25">
      <c r="A936" s="23">
        <v>44</v>
      </c>
      <c r="B936" s="23" t="s">
        <v>716</v>
      </c>
      <c r="C936" s="23" t="s">
        <v>717</v>
      </c>
      <c r="D936" s="23">
        <v>2000</v>
      </c>
      <c r="E936" s="23">
        <v>1997</v>
      </c>
      <c r="F936" s="23" t="s">
        <v>718</v>
      </c>
      <c r="G936" s="23" t="s">
        <v>724</v>
      </c>
      <c r="H936" s="23">
        <v>44.94</v>
      </c>
      <c r="I936" s="23">
        <v>-122.93</v>
      </c>
      <c r="J936" s="23">
        <v>66.5</v>
      </c>
      <c r="N936" s="23">
        <v>1040</v>
      </c>
      <c r="O936" s="23" t="s">
        <v>161</v>
      </c>
      <c r="P936" s="23">
        <v>2</v>
      </c>
      <c r="R936" s="53" t="s">
        <v>747</v>
      </c>
      <c r="S936" s="53" t="s">
        <v>1556</v>
      </c>
      <c r="T936" s="53" t="s">
        <v>1556</v>
      </c>
      <c r="U936" s="53" t="s">
        <v>1556</v>
      </c>
      <c r="V936" s="53" t="s">
        <v>1904</v>
      </c>
      <c r="X936" s="23">
        <v>22</v>
      </c>
      <c r="Y936" s="23">
        <v>52</v>
      </c>
      <c r="Z936" s="23" t="s">
        <v>531</v>
      </c>
      <c r="AD936" s="23" t="s">
        <v>1449</v>
      </c>
      <c r="AE936" s="23" t="s">
        <v>727</v>
      </c>
      <c r="AF936" s="152" t="s">
        <v>727</v>
      </c>
      <c r="AG936" s="23" t="s">
        <v>160</v>
      </c>
      <c r="AH936" s="155" t="s">
        <v>1793</v>
      </c>
      <c r="AI936" s="23" t="s">
        <v>732</v>
      </c>
      <c r="AJ936" s="23" t="s">
        <v>732</v>
      </c>
      <c r="AK936" s="23" t="s">
        <v>212</v>
      </c>
      <c r="AR936" s="23" t="s">
        <v>147</v>
      </c>
      <c r="AS936" s="23">
        <v>4</v>
      </c>
      <c r="AT936" s="23">
        <v>4</v>
      </c>
      <c r="AU936" s="23" t="s">
        <v>379</v>
      </c>
      <c r="BU936" s="31"/>
      <c r="EJ936" s="23">
        <v>78.44</v>
      </c>
      <c r="EK936" s="23">
        <v>114.91</v>
      </c>
      <c r="EL936" s="23" t="s">
        <v>714</v>
      </c>
      <c r="FH936" s="23">
        <v>125.52</v>
      </c>
      <c r="FI936" s="23">
        <v>163.59</v>
      </c>
      <c r="FR936" s="31" t="s">
        <v>751</v>
      </c>
      <c r="FS936" s="31" t="s">
        <v>1785</v>
      </c>
      <c r="FT936" s="23">
        <v>44</v>
      </c>
    </row>
    <row r="937" spans="1:176" s="23" customFormat="1" x14ac:dyDescent="0.25">
      <c r="A937" s="23">
        <v>44</v>
      </c>
      <c r="B937" s="23" t="s">
        <v>716</v>
      </c>
      <c r="C937" s="23" t="s">
        <v>717</v>
      </c>
      <c r="D937" s="23">
        <v>2000</v>
      </c>
      <c r="E937" s="23">
        <v>1997</v>
      </c>
      <c r="F937" s="23" t="s">
        <v>718</v>
      </c>
      <c r="G937" s="23" t="s">
        <v>724</v>
      </c>
      <c r="H937" s="23">
        <v>44.94</v>
      </c>
      <c r="I937" s="23">
        <v>-122.93</v>
      </c>
      <c r="J937" s="23">
        <v>66.5</v>
      </c>
      <c r="N937" s="23">
        <v>1040</v>
      </c>
      <c r="O937" s="23" t="s">
        <v>161</v>
      </c>
      <c r="P937" s="23">
        <v>2</v>
      </c>
      <c r="R937" s="53" t="s">
        <v>749</v>
      </c>
      <c r="S937" s="53" t="s">
        <v>1556</v>
      </c>
      <c r="T937" s="53" t="s">
        <v>1556</v>
      </c>
      <c r="U937" s="53" t="s">
        <v>1556</v>
      </c>
      <c r="V937" s="53" t="s">
        <v>1904</v>
      </c>
      <c r="X937" s="23">
        <v>22</v>
      </c>
      <c r="Y937" s="23">
        <v>52</v>
      </c>
      <c r="Z937" s="23" t="s">
        <v>531</v>
      </c>
      <c r="AD937" s="23" t="s">
        <v>1449</v>
      </c>
      <c r="AE937" s="23" t="s">
        <v>727</v>
      </c>
      <c r="AF937" s="152" t="s">
        <v>727</v>
      </c>
      <c r="AG937" s="23" t="s">
        <v>160</v>
      </c>
      <c r="AH937" s="155" t="s">
        <v>1793</v>
      </c>
      <c r="AI937" s="23" t="s">
        <v>732</v>
      </c>
      <c r="AJ937" s="23" t="s">
        <v>732</v>
      </c>
      <c r="AK937" s="23" t="s">
        <v>212</v>
      </c>
      <c r="AR937" s="23" t="s">
        <v>147</v>
      </c>
      <c r="AS937" s="23">
        <v>4</v>
      </c>
      <c r="AT937" s="23">
        <v>4</v>
      </c>
      <c r="AU937" s="23" t="s">
        <v>379</v>
      </c>
      <c r="BU937" s="31"/>
      <c r="EJ937" s="23">
        <v>106.22</v>
      </c>
      <c r="EK937" s="23">
        <v>152.93</v>
      </c>
      <c r="EL937" s="23" t="s">
        <v>714</v>
      </c>
      <c r="FH937" s="23">
        <v>119.78</v>
      </c>
      <c r="FI937" s="23">
        <v>167.37</v>
      </c>
      <c r="FR937" s="31" t="s">
        <v>751</v>
      </c>
      <c r="FS937" s="31" t="s">
        <v>1785</v>
      </c>
      <c r="FT937" s="23">
        <v>44</v>
      </c>
    </row>
    <row r="938" spans="1:176" s="23" customFormat="1" x14ac:dyDescent="0.25">
      <c r="A938" s="23">
        <v>44</v>
      </c>
      <c r="B938" s="23" t="s">
        <v>716</v>
      </c>
      <c r="C938" s="23" t="s">
        <v>717</v>
      </c>
      <c r="D938" s="23">
        <v>2000</v>
      </c>
      <c r="E938" s="23">
        <v>1998</v>
      </c>
      <c r="F938" s="23" t="s">
        <v>718</v>
      </c>
      <c r="G938" s="23" t="s">
        <v>724</v>
      </c>
      <c r="H938" s="23">
        <v>44.94</v>
      </c>
      <c r="I938" s="23">
        <v>-122.93</v>
      </c>
      <c r="J938" s="23">
        <v>66.5</v>
      </c>
      <c r="N938" s="23">
        <v>1040</v>
      </c>
      <c r="O938" s="23" t="s">
        <v>161</v>
      </c>
      <c r="P938" s="23">
        <v>3</v>
      </c>
      <c r="R938" s="53" t="s">
        <v>748</v>
      </c>
      <c r="S938" s="53" t="s">
        <v>1556</v>
      </c>
      <c r="T938" s="53" t="s">
        <v>1556</v>
      </c>
      <c r="U938" s="53" t="s">
        <v>1556</v>
      </c>
      <c r="V938" s="53" t="s">
        <v>1904</v>
      </c>
      <c r="X938" s="23">
        <v>22</v>
      </c>
      <c r="Y938" s="23">
        <v>52</v>
      </c>
      <c r="Z938" s="23" t="s">
        <v>531</v>
      </c>
      <c r="AD938" s="23" t="s">
        <v>1449</v>
      </c>
      <c r="AE938" s="23" t="s">
        <v>727</v>
      </c>
      <c r="AF938" s="152" t="s">
        <v>727</v>
      </c>
      <c r="AG938" s="23" t="s">
        <v>160</v>
      </c>
      <c r="AH938" s="155" t="s">
        <v>1793</v>
      </c>
      <c r="AI938" s="23" t="s">
        <v>732</v>
      </c>
      <c r="AJ938" s="23" t="s">
        <v>732</v>
      </c>
      <c r="AK938" s="23" t="s">
        <v>212</v>
      </c>
      <c r="AR938" s="23" t="s">
        <v>147</v>
      </c>
      <c r="AS938" s="23">
        <v>4</v>
      </c>
      <c r="AT938" s="23">
        <v>4</v>
      </c>
      <c r="AU938" s="23" t="s">
        <v>379</v>
      </c>
      <c r="BU938" s="31"/>
      <c r="EJ938" s="23">
        <v>117.21</v>
      </c>
      <c r="EK938" s="23">
        <v>170.88</v>
      </c>
      <c r="EL938" s="23" t="s">
        <v>714</v>
      </c>
      <c r="FH938" s="23">
        <v>139.41</v>
      </c>
      <c r="FI938" s="23">
        <v>232.47</v>
      </c>
      <c r="FR938" s="31" t="s">
        <v>751</v>
      </c>
      <c r="FS938" s="31" t="s">
        <v>1785</v>
      </c>
      <c r="FT938" s="23">
        <v>44</v>
      </c>
    </row>
    <row r="939" spans="1:176" s="23" customFormat="1" x14ac:dyDescent="0.25">
      <c r="A939" s="23">
        <v>44</v>
      </c>
      <c r="B939" s="23" t="s">
        <v>716</v>
      </c>
      <c r="C939" s="23" t="s">
        <v>717</v>
      </c>
      <c r="D939" s="23">
        <v>2000</v>
      </c>
      <c r="E939" s="23">
        <v>1998</v>
      </c>
      <c r="F939" s="23" t="s">
        <v>718</v>
      </c>
      <c r="G939" s="23" t="s">
        <v>724</v>
      </c>
      <c r="H939" s="23">
        <v>44.94</v>
      </c>
      <c r="I939" s="23">
        <v>-122.93</v>
      </c>
      <c r="J939" s="23">
        <v>66.5</v>
      </c>
      <c r="N939" s="23">
        <v>1040</v>
      </c>
      <c r="O939" s="23" t="s">
        <v>161</v>
      </c>
      <c r="P939" s="23">
        <v>3</v>
      </c>
      <c r="R939" s="53" t="s">
        <v>747</v>
      </c>
      <c r="S939" s="53" t="s">
        <v>1556</v>
      </c>
      <c r="T939" s="53" t="s">
        <v>1556</v>
      </c>
      <c r="U939" s="53" t="s">
        <v>1556</v>
      </c>
      <c r="V939" s="53" t="s">
        <v>1904</v>
      </c>
      <c r="X939" s="23">
        <v>22</v>
      </c>
      <c r="Y939" s="23">
        <v>52</v>
      </c>
      <c r="Z939" s="23" t="s">
        <v>531</v>
      </c>
      <c r="AD939" s="23" t="s">
        <v>1449</v>
      </c>
      <c r="AE939" s="23" t="s">
        <v>727</v>
      </c>
      <c r="AF939" s="152" t="s">
        <v>727</v>
      </c>
      <c r="AG939" s="23" t="s">
        <v>160</v>
      </c>
      <c r="AH939" s="155" t="s">
        <v>1793</v>
      </c>
      <c r="AI939" s="23" t="s">
        <v>732</v>
      </c>
      <c r="AJ939" s="23" t="s">
        <v>732</v>
      </c>
      <c r="AK939" s="23" t="s">
        <v>212</v>
      </c>
      <c r="AR939" s="23" t="s">
        <v>147</v>
      </c>
      <c r="AS939" s="23">
        <v>4</v>
      </c>
      <c r="AT939" s="23">
        <v>4</v>
      </c>
      <c r="AU939" s="23" t="s">
        <v>379</v>
      </c>
      <c r="BU939" s="31"/>
      <c r="EJ939" s="23">
        <v>103.61</v>
      </c>
      <c r="EK939" s="23">
        <v>178.6</v>
      </c>
      <c r="EL939" s="23" t="s">
        <v>714</v>
      </c>
      <c r="FH939" s="23">
        <v>278.55</v>
      </c>
      <c r="FI939" s="23">
        <v>383.25</v>
      </c>
      <c r="FR939" s="31" t="s">
        <v>751</v>
      </c>
      <c r="FS939" s="31" t="s">
        <v>1785</v>
      </c>
      <c r="FT939" s="23">
        <v>44</v>
      </c>
    </row>
    <row r="940" spans="1:176" s="23" customFormat="1" x14ac:dyDescent="0.25">
      <c r="A940" s="23">
        <v>44</v>
      </c>
      <c r="B940" s="23" t="s">
        <v>716</v>
      </c>
      <c r="C940" s="23" t="s">
        <v>717</v>
      </c>
      <c r="D940" s="23">
        <v>2000</v>
      </c>
      <c r="E940" s="23">
        <v>1998</v>
      </c>
      <c r="F940" s="23" t="s">
        <v>718</v>
      </c>
      <c r="G940" s="23" t="s">
        <v>724</v>
      </c>
      <c r="H940" s="23">
        <v>44.94</v>
      </c>
      <c r="I940" s="23">
        <v>-122.93</v>
      </c>
      <c r="J940" s="23">
        <v>66.5</v>
      </c>
      <c r="N940" s="23">
        <v>1040</v>
      </c>
      <c r="O940" s="23" t="s">
        <v>161</v>
      </c>
      <c r="P940" s="23">
        <v>3</v>
      </c>
      <c r="R940" s="53" t="s">
        <v>749</v>
      </c>
      <c r="S940" s="53" t="s">
        <v>1556</v>
      </c>
      <c r="T940" s="53" t="s">
        <v>1556</v>
      </c>
      <c r="U940" s="53" t="s">
        <v>1556</v>
      </c>
      <c r="V940" s="53" t="s">
        <v>1904</v>
      </c>
      <c r="X940" s="23">
        <v>22</v>
      </c>
      <c r="Y940" s="23">
        <v>52</v>
      </c>
      <c r="Z940" s="23" t="s">
        <v>531</v>
      </c>
      <c r="AD940" s="23" t="s">
        <v>1449</v>
      </c>
      <c r="AE940" s="23" t="s">
        <v>727</v>
      </c>
      <c r="AF940" s="152" t="s">
        <v>727</v>
      </c>
      <c r="AG940" s="23" t="s">
        <v>160</v>
      </c>
      <c r="AH940" s="155" t="s">
        <v>1793</v>
      </c>
      <c r="AI940" s="23" t="s">
        <v>732</v>
      </c>
      <c r="AJ940" s="23" t="s">
        <v>732</v>
      </c>
      <c r="AK940" s="23" t="s">
        <v>212</v>
      </c>
      <c r="AR940" s="23" t="s">
        <v>147</v>
      </c>
      <c r="AS940" s="23">
        <v>4</v>
      </c>
      <c r="AT940" s="23">
        <v>4</v>
      </c>
      <c r="AU940" s="23" t="s">
        <v>379</v>
      </c>
      <c r="BU940" s="31"/>
      <c r="EJ940" s="23">
        <v>104.35</v>
      </c>
      <c r="EK940" s="23">
        <v>181.39</v>
      </c>
      <c r="EL940" s="23" t="s">
        <v>714</v>
      </c>
      <c r="FH940" s="23">
        <v>136.37</v>
      </c>
      <c r="FI940" s="23">
        <v>194.53</v>
      </c>
      <c r="FR940" s="31" t="s">
        <v>751</v>
      </c>
      <c r="FS940" s="31" t="s">
        <v>1785</v>
      </c>
      <c r="FT940" s="23">
        <v>44</v>
      </c>
    </row>
    <row r="941" spans="1:176" s="26" customFormat="1" x14ac:dyDescent="0.25">
      <c r="A941" s="26">
        <v>45</v>
      </c>
      <c r="B941" s="26" t="s">
        <v>752</v>
      </c>
      <c r="C941" s="26" t="s">
        <v>753</v>
      </c>
      <c r="D941" s="26">
        <v>2005</v>
      </c>
      <c r="E941" s="26">
        <v>1994</v>
      </c>
      <c r="F941" s="26" t="s">
        <v>342</v>
      </c>
      <c r="G941" s="26" t="s">
        <v>613</v>
      </c>
      <c r="H941" s="26">
        <v>40.19</v>
      </c>
      <c r="I941" s="26">
        <v>-103.17</v>
      </c>
      <c r="J941" s="26">
        <v>1384</v>
      </c>
      <c r="P941" s="52">
        <v>1</v>
      </c>
      <c r="Q941" s="52"/>
      <c r="R941" s="52"/>
      <c r="S941" s="52" t="s">
        <v>1558</v>
      </c>
      <c r="T941" s="52" t="s">
        <v>1558</v>
      </c>
      <c r="U941" s="52" t="s">
        <v>1558</v>
      </c>
      <c r="V941" s="52" t="s">
        <v>1905</v>
      </c>
      <c r="Z941" s="26" t="s">
        <v>531</v>
      </c>
      <c r="AD941" s="26" t="s">
        <v>1501</v>
      </c>
      <c r="AE941" s="26" t="s">
        <v>1717</v>
      </c>
      <c r="AF941" s="152" t="s">
        <v>666</v>
      </c>
      <c r="AG941" s="26" t="s">
        <v>144</v>
      </c>
      <c r="AH941" s="154" t="s">
        <v>144</v>
      </c>
      <c r="AL941" s="26" t="s">
        <v>754</v>
      </c>
      <c r="AM941" s="26" t="s">
        <v>754</v>
      </c>
      <c r="AN941" s="26" t="s">
        <v>212</v>
      </c>
      <c r="AO941" s="26" t="s">
        <v>755</v>
      </c>
      <c r="AP941" s="26" t="s">
        <v>755</v>
      </c>
      <c r="AQ941" s="26" t="s">
        <v>212</v>
      </c>
      <c r="AR941" s="26" t="s">
        <v>147</v>
      </c>
      <c r="AS941" s="26">
        <v>4</v>
      </c>
      <c r="AT941" s="26">
        <v>4</v>
      </c>
      <c r="AU941" s="26" t="s">
        <v>379</v>
      </c>
      <c r="BD941" s="26">
        <v>3979</v>
      </c>
      <c r="BE941" s="26">
        <v>2670</v>
      </c>
      <c r="BM941" s="26">
        <f>(56+19)/2</f>
        <v>37.5</v>
      </c>
      <c r="BN941" s="26">
        <f>(35+7)/2</f>
        <v>21</v>
      </c>
      <c r="BO941" s="26" t="s">
        <v>772</v>
      </c>
      <c r="DL941" s="26">
        <v>245</v>
      </c>
      <c r="DM941" s="26">
        <v>173</v>
      </c>
      <c r="DN941" s="26" t="s">
        <v>756</v>
      </c>
      <c r="FR941" s="26" t="s">
        <v>825</v>
      </c>
      <c r="FT941" s="26">
        <v>45</v>
      </c>
    </row>
    <row r="942" spans="1:176" s="26" customFormat="1" x14ac:dyDescent="0.25">
      <c r="A942" s="26">
        <v>45</v>
      </c>
      <c r="B942" s="26" t="s">
        <v>752</v>
      </c>
      <c r="C942" s="26" t="s">
        <v>753</v>
      </c>
      <c r="D942" s="26">
        <v>2005</v>
      </c>
      <c r="E942" s="26">
        <v>1994</v>
      </c>
      <c r="F942" s="26" t="s">
        <v>342</v>
      </c>
      <c r="G942" s="26" t="s">
        <v>613</v>
      </c>
      <c r="H942" s="26">
        <v>40.19</v>
      </c>
      <c r="I942" s="26">
        <v>-103.17</v>
      </c>
      <c r="J942" s="26">
        <v>1384</v>
      </c>
      <c r="P942" s="52">
        <v>1</v>
      </c>
      <c r="Q942" s="52"/>
      <c r="R942" s="52"/>
      <c r="S942" s="52" t="s">
        <v>1558</v>
      </c>
      <c r="T942" s="52" t="s">
        <v>1558</v>
      </c>
      <c r="U942" s="52" t="s">
        <v>1558</v>
      </c>
      <c r="V942" s="52" t="s">
        <v>1905</v>
      </c>
      <c r="Z942" s="26" t="s">
        <v>531</v>
      </c>
      <c r="AD942" s="26" t="s">
        <v>1501</v>
      </c>
      <c r="AE942" s="26" t="s">
        <v>1718</v>
      </c>
      <c r="AF942" s="152" t="s">
        <v>666</v>
      </c>
      <c r="AG942" s="26" t="s">
        <v>144</v>
      </c>
      <c r="AH942" s="154" t="s">
        <v>144</v>
      </c>
      <c r="AL942" s="26" t="s">
        <v>754</v>
      </c>
      <c r="AM942" s="26" t="s">
        <v>754</v>
      </c>
      <c r="AN942" s="26" t="s">
        <v>212</v>
      </c>
      <c r="AO942" s="26" t="s">
        <v>755</v>
      </c>
      <c r="AP942" s="26" t="s">
        <v>755</v>
      </c>
      <c r="AQ942" s="26" t="s">
        <v>212</v>
      </c>
      <c r="AR942" s="26" t="s">
        <v>147</v>
      </c>
      <c r="AS942" s="26">
        <v>4</v>
      </c>
      <c r="AT942" s="26">
        <v>4</v>
      </c>
      <c r="AU942" s="26" t="s">
        <v>379</v>
      </c>
      <c r="BD942" s="26">
        <v>3979</v>
      </c>
      <c r="BE942" s="26">
        <v>2663</v>
      </c>
      <c r="BM942" s="26">
        <f t="shared" ref="BM942:BM943" si="218">(56+19)/2</f>
        <v>37.5</v>
      </c>
      <c r="BN942" s="26">
        <f>(31+7)/2</f>
        <v>19</v>
      </c>
      <c r="BO942" s="26" t="s">
        <v>772</v>
      </c>
      <c r="DL942" s="26">
        <v>245</v>
      </c>
      <c r="DM942" s="26">
        <v>188</v>
      </c>
      <c r="DN942" s="26" t="s">
        <v>756</v>
      </c>
      <c r="FR942" s="26" t="s">
        <v>825</v>
      </c>
      <c r="FT942" s="26">
        <v>45</v>
      </c>
    </row>
    <row r="943" spans="1:176" s="26" customFormat="1" x14ac:dyDescent="0.25">
      <c r="A943" s="26">
        <v>45</v>
      </c>
      <c r="B943" s="26" t="s">
        <v>752</v>
      </c>
      <c r="C943" s="26" t="s">
        <v>753</v>
      </c>
      <c r="D943" s="26">
        <v>2005</v>
      </c>
      <c r="E943" s="26">
        <v>1994</v>
      </c>
      <c r="F943" s="26" t="s">
        <v>342</v>
      </c>
      <c r="G943" s="26" t="s">
        <v>613</v>
      </c>
      <c r="H943" s="26">
        <v>40.19</v>
      </c>
      <c r="I943" s="26">
        <v>-103.17</v>
      </c>
      <c r="J943" s="26">
        <v>1384</v>
      </c>
      <c r="P943" s="52">
        <v>1</v>
      </c>
      <c r="Q943" s="52"/>
      <c r="R943" s="52"/>
      <c r="S943" s="52" t="s">
        <v>1558</v>
      </c>
      <c r="T943" s="52" t="s">
        <v>1558</v>
      </c>
      <c r="U943" s="52" t="s">
        <v>1558</v>
      </c>
      <c r="V943" s="52" t="s">
        <v>1905</v>
      </c>
      <c r="Z943" s="26" t="s">
        <v>531</v>
      </c>
      <c r="AD943" s="26" t="s">
        <v>1501</v>
      </c>
      <c r="AE943" s="26" t="s">
        <v>650</v>
      </c>
      <c r="AF943" s="152" t="s">
        <v>666</v>
      </c>
      <c r="AG943" s="26" t="s">
        <v>144</v>
      </c>
      <c r="AH943" s="154" t="s">
        <v>144</v>
      </c>
      <c r="AL943" s="26" t="s">
        <v>754</v>
      </c>
      <c r="AM943" s="26" t="s">
        <v>754</v>
      </c>
      <c r="AN943" s="26" t="s">
        <v>212</v>
      </c>
      <c r="AO943" s="26" t="s">
        <v>755</v>
      </c>
      <c r="AP943" s="26" t="s">
        <v>755</v>
      </c>
      <c r="AQ943" s="26" t="s">
        <v>212</v>
      </c>
      <c r="AR943" s="26" t="s">
        <v>147</v>
      </c>
      <c r="AS943" s="26">
        <v>4</v>
      </c>
      <c r="AT943" s="26">
        <v>4</v>
      </c>
      <c r="AU943" s="26" t="s">
        <v>379</v>
      </c>
      <c r="BD943" s="26">
        <v>3979</v>
      </c>
      <c r="BE943" s="26">
        <v>2632</v>
      </c>
      <c r="BM943" s="26">
        <f t="shared" si="218"/>
        <v>37.5</v>
      </c>
      <c r="BN943" s="26">
        <f>(35+6)/2</f>
        <v>20.5</v>
      </c>
      <c r="BO943" s="26" t="s">
        <v>772</v>
      </c>
      <c r="DL943" s="26">
        <v>245</v>
      </c>
      <c r="DM943" s="26">
        <v>172</v>
      </c>
      <c r="DN943" s="26" t="s">
        <v>756</v>
      </c>
      <c r="FR943" s="26" t="s">
        <v>825</v>
      </c>
      <c r="FT943" s="26">
        <v>45</v>
      </c>
    </row>
    <row r="944" spans="1:176" s="26" customFormat="1" x14ac:dyDescent="0.25">
      <c r="A944" s="26">
        <v>45</v>
      </c>
      <c r="B944" s="26" t="s">
        <v>752</v>
      </c>
      <c r="C944" s="26" t="s">
        <v>753</v>
      </c>
      <c r="D944" s="26">
        <v>2005</v>
      </c>
      <c r="E944" s="26">
        <v>1994</v>
      </c>
      <c r="F944" s="26" t="s">
        <v>342</v>
      </c>
      <c r="G944" s="26" t="s">
        <v>613</v>
      </c>
      <c r="H944" s="26">
        <v>40.19</v>
      </c>
      <c r="I944" s="26">
        <v>-103.17</v>
      </c>
      <c r="J944" s="26">
        <v>1384</v>
      </c>
      <c r="P944" s="52">
        <v>1</v>
      </c>
      <c r="Q944" s="52"/>
      <c r="R944" s="52"/>
      <c r="S944" s="52" t="s">
        <v>1558</v>
      </c>
      <c r="T944" s="52" t="s">
        <v>1558</v>
      </c>
      <c r="U944" s="52" t="s">
        <v>1558</v>
      </c>
      <c r="V944" s="52" t="s">
        <v>1905</v>
      </c>
      <c r="Z944" s="26" t="s">
        <v>531</v>
      </c>
      <c r="AD944" s="26" t="s">
        <v>1501</v>
      </c>
      <c r="AE944" s="26" t="s">
        <v>281</v>
      </c>
      <c r="AF944" s="152" t="s">
        <v>666</v>
      </c>
      <c r="AG944" s="26" t="s">
        <v>144</v>
      </c>
      <c r="AH944" s="154" t="s">
        <v>144</v>
      </c>
      <c r="AL944" s="26" t="s">
        <v>754</v>
      </c>
      <c r="AM944" s="26" t="s">
        <v>754</v>
      </c>
      <c r="AN944" s="26" t="s">
        <v>212</v>
      </c>
      <c r="AO944" s="26" t="s">
        <v>755</v>
      </c>
      <c r="AP944" s="26" t="s">
        <v>755</v>
      </c>
      <c r="AQ944" s="26" t="s">
        <v>212</v>
      </c>
      <c r="AR944" s="26" t="s">
        <v>147</v>
      </c>
      <c r="AS944" s="26">
        <v>4</v>
      </c>
      <c r="AT944" s="26">
        <v>4</v>
      </c>
      <c r="AU944" s="26" t="s">
        <v>379</v>
      </c>
      <c r="FR944" s="26" t="s">
        <v>825</v>
      </c>
      <c r="FT944" s="26">
        <v>45</v>
      </c>
    </row>
    <row r="945" spans="1:176" s="35" customFormat="1" x14ac:dyDescent="0.25">
      <c r="A945" s="35">
        <v>45</v>
      </c>
      <c r="B945" s="35" t="s">
        <v>752</v>
      </c>
      <c r="C945" s="35" t="s">
        <v>753</v>
      </c>
      <c r="D945" s="35">
        <v>2005</v>
      </c>
      <c r="E945" s="35">
        <v>1995</v>
      </c>
      <c r="F945" s="35" t="s">
        <v>342</v>
      </c>
      <c r="G945" s="35" t="s">
        <v>613</v>
      </c>
      <c r="H945" s="35">
        <v>40.19</v>
      </c>
      <c r="I945" s="35">
        <v>-103.17</v>
      </c>
      <c r="J945" s="35">
        <v>1384</v>
      </c>
      <c r="P945" s="54">
        <v>2</v>
      </c>
      <c r="Q945" s="54"/>
      <c r="R945" s="54"/>
      <c r="S945" s="54" t="s">
        <v>1558</v>
      </c>
      <c r="T945" s="54" t="s">
        <v>1558</v>
      </c>
      <c r="U945" s="54" t="s">
        <v>1558</v>
      </c>
      <c r="V945" s="54" t="s">
        <v>1905</v>
      </c>
      <c r="Z945" s="35" t="s">
        <v>531</v>
      </c>
      <c r="AD945" s="35" t="s">
        <v>1501</v>
      </c>
      <c r="AE945" s="35" t="s">
        <v>1717</v>
      </c>
      <c r="AF945" s="152" t="s">
        <v>666</v>
      </c>
      <c r="AG945" s="35" t="s">
        <v>144</v>
      </c>
      <c r="AH945" s="154" t="s">
        <v>144</v>
      </c>
      <c r="AL945" s="35" t="s">
        <v>754</v>
      </c>
      <c r="AM945" s="35" t="s">
        <v>754</v>
      </c>
      <c r="AN945" s="35" t="s">
        <v>212</v>
      </c>
      <c r="AO945" s="35" t="s">
        <v>755</v>
      </c>
      <c r="AP945" s="35" t="s">
        <v>755</v>
      </c>
      <c r="AQ945" s="35" t="s">
        <v>212</v>
      </c>
      <c r="AR945" s="35" t="s">
        <v>147</v>
      </c>
      <c r="AS945" s="35">
        <v>4</v>
      </c>
      <c r="AT945" s="35">
        <v>4</v>
      </c>
      <c r="AU945" s="35" t="s">
        <v>379</v>
      </c>
      <c r="BD945" s="35">
        <v>6032</v>
      </c>
      <c r="BE945" s="35">
        <v>3721</v>
      </c>
      <c r="BM945" s="35">
        <f>(23+5)/2</f>
        <v>14</v>
      </c>
      <c r="BN945" s="35">
        <f>(3+5)/2</f>
        <v>4</v>
      </c>
      <c r="BO945" s="35" t="s">
        <v>772</v>
      </c>
      <c r="DL945" s="35">
        <v>293</v>
      </c>
      <c r="DM945" s="35">
        <v>202</v>
      </c>
      <c r="DN945" s="35" t="s">
        <v>756</v>
      </c>
      <c r="FR945" s="35" t="s">
        <v>825</v>
      </c>
      <c r="FT945" s="35">
        <v>45</v>
      </c>
    </row>
    <row r="946" spans="1:176" s="35" customFormat="1" x14ac:dyDescent="0.25">
      <c r="A946" s="35">
        <v>45</v>
      </c>
      <c r="B946" s="35" t="s">
        <v>752</v>
      </c>
      <c r="C946" s="35" t="s">
        <v>753</v>
      </c>
      <c r="D946" s="35">
        <v>2005</v>
      </c>
      <c r="E946" s="35">
        <v>1995</v>
      </c>
      <c r="F946" s="35" t="s">
        <v>342</v>
      </c>
      <c r="G946" s="35" t="s">
        <v>613</v>
      </c>
      <c r="H946" s="35">
        <v>40.19</v>
      </c>
      <c r="I946" s="35">
        <v>-103.17</v>
      </c>
      <c r="J946" s="35">
        <v>1384</v>
      </c>
      <c r="P946" s="54">
        <v>2</v>
      </c>
      <c r="Q946" s="54"/>
      <c r="R946" s="54"/>
      <c r="S946" s="54" t="s">
        <v>1558</v>
      </c>
      <c r="T946" s="54" t="s">
        <v>1558</v>
      </c>
      <c r="U946" s="54" t="s">
        <v>1558</v>
      </c>
      <c r="V946" s="54" t="s">
        <v>1905</v>
      </c>
      <c r="Z946" s="35" t="s">
        <v>531</v>
      </c>
      <c r="AD946" s="35" t="s">
        <v>1501</v>
      </c>
      <c r="AE946" s="35" t="s">
        <v>1718</v>
      </c>
      <c r="AF946" s="152" t="s">
        <v>666</v>
      </c>
      <c r="AG946" s="35" t="s">
        <v>144</v>
      </c>
      <c r="AH946" s="154" t="s">
        <v>144</v>
      </c>
      <c r="AL946" s="35" t="s">
        <v>754</v>
      </c>
      <c r="AM946" s="35" t="s">
        <v>754</v>
      </c>
      <c r="AN946" s="35" t="s">
        <v>212</v>
      </c>
      <c r="AO946" s="35" t="s">
        <v>755</v>
      </c>
      <c r="AP946" s="35" t="s">
        <v>755</v>
      </c>
      <c r="AQ946" s="35" t="s">
        <v>212</v>
      </c>
      <c r="AR946" s="35" t="s">
        <v>147</v>
      </c>
      <c r="AS946" s="35">
        <v>4</v>
      </c>
      <c r="AT946" s="35">
        <v>4</v>
      </c>
      <c r="AU946" s="35" t="s">
        <v>379</v>
      </c>
      <c r="BD946" s="35">
        <v>6032</v>
      </c>
      <c r="BE946" s="35">
        <v>4082</v>
      </c>
      <c r="BM946" s="35">
        <f t="shared" ref="BM946:BM947" si="219">(23+5)/2</f>
        <v>14</v>
      </c>
      <c r="BN946" s="35">
        <f>(4+5)/2</f>
        <v>4.5</v>
      </c>
      <c r="BO946" s="35" t="s">
        <v>772</v>
      </c>
      <c r="DL946" s="35">
        <v>293</v>
      </c>
      <c r="DM946" s="35">
        <v>202</v>
      </c>
      <c r="DN946" s="35" t="s">
        <v>756</v>
      </c>
      <c r="FR946" s="35" t="s">
        <v>825</v>
      </c>
      <c r="FT946" s="35">
        <v>45</v>
      </c>
    </row>
    <row r="947" spans="1:176" s="35" customFormat="1" x14ac:dyDescent="0.25">
      <c r="A947" s="35">
        <v>45</v>
      </c>
      <c r="B947" s="35" t="s">
        <v>752</v>
      </c>
      <c r="C947" s="35" t="s">
        <v>753</v>
      </c>
      <c r="D947" s="35">
        <v>2005</v>
      </c>
      <c r="E947" s="35">
        <v>1995</v>
      </c>
      <c r="F947" s="35" t="s">
        <v>342</v>
      </c>
      <c r="G947" s="35" t="s">
        <v>613</v>
      </c>
      <c r="H947" s="35">
        <v>40.19</v>
      </c>
      <c r="I947" s="35">
        <v>-103.17</v>
      </c>
      <c r="J947" s="35">
        <v>1384</v>
      </c>
      <c r="P947" s="54">
        <v>2</v>
      </c>
      <c r="Q947" s="54"/>
      <c r="R947" s="54"/>
      <c r="S947" s="54" t="s">
        <v>1558</v>
      </c>
      <c r="T947" s="54" t="s">
        <v>1558</v>
      </c>
      <c r="U947" s="54" t="s">
        <v>1558</v>
      </c>
      <c r="V947" s="54" t="s">
        <v>1905</v>
      </c>
      <c r="Z947" s="35" t="s">
        <v>531</v>
      </c>
      <c r="AD947" s="35" t="s">
        <v>1501</v>
      </c>
      <c r="AE947" s="35" t="s">
        <v>650</v>
      </c>
      <c r="AF947" s="152" t="s">
        <v>666</v>
      </c>
      <c r="AG947" s="35" t="s">
        <v>144</v>
      </c>
      <c r="AH947" s="154" t="s">
        <v>144</v>
      </c>
      <c r="AL947" s="35" t="s">
        <v>754</v>
      </c>
      <c r="AM947" s="35" t="s">
        <v>754</v>
      </c>
      <c r="AN947" s="35" t="s">
        <v>212</v>
      </c>
      <c r="AO947" s="35" t="s">
        <v>755</v>
      </c>
      <c r="AP947" s="35" t="s">
        <v>755</v>
      </c>
      <c r="AQ947" s="35" t="s">
        <v>212</v>
      </c>
      <c r="AR947" s="35" t="s">
        <v>147</v>
      </c>
      <c r="AS947" s="35">
        <v>4</v>
      </c>
      <c r="AT947" s="35">
        <v>4</v>
      </c>
      <c r="AU947" s="35" t="s">
        <v>379</v>
      </c>
      <c r="BD947" s="35">
        <v>6032</v>
      </c>
      <c r="BE947" s="35">
        <v>2632</v>
      </c>
      <c r="BM947" s="35">
        <f t="shared" si="219"/>
        <v>14</v>
      </c>
      <c r="BN947" s="35">
        <f>(2+5)/2</f>
        <v>3.5</v>
      </c>
      <c r="BO947" s="35" t="s">
        <v>772</v>
      </c>
      <c r="DL947" s="35">
        <v>293</v>
      </c>
      <c r="DM947" s="35">
        <v>205</v>
      </c>
      <c r="DN947" s="35" t="s">
        <v>756</v>
      </c>
      <c r="FR947" s="35" t="s">
        <v>825</v>
      </c>
      <c r="FT947" s="35">
        <v>45</v>
      </c>
    </row>
    <row r="948" spans="1:176" s="35" customFormat="1" x14ac:dyDescent="0.25">
      <c r="A948" s="35">
        <v>45</v>
      </c>
      <c r="B948" s="35" t="s">
        <v>752</v>
      </c>
      <c r="C948" s="35" t="s">
        <v>753</v>
      </c>
      <c r="D948" s="35">
        <v>2005</v>
      </c>
      <c r="E948" s="35">
        <v>1995</v>
      </c>
      <c r="F948" s="35" t="s">
        <v>342</v>
      </c>
      <c r="G948" s="35" t="s">
        <v>613</v>
      </c>
      <c r="H948" s="35">
        <v>40.19</v>
      </c>
      <c r="I948" s="35">
        <v>-103.17</v>
      </c>
      <c r="J948" s="35">
        <v>1384</v>
      </c>
      <c r="P948" s="54">
        <v>2</v>
      </c>
      <c r="Q948" s="54"/>
      <c r="R948" s="54"/>
      <c r="S948" s="54" t="s">
        <v>1558</v>
      </c>
      <c r="T948" s="54" t="s">
        <v>1558</v>
      </c>
      <c r="U948" s="54" t="s">
        <v>1558</v>
      </c>
      <c r="V948" s="54" t="s">
        <v>1905</v>
      </c>
      <c r="Z948" s="35" t="s">
        <v>531</v>
      </c>
      <c r="AD948" s="35" t="s">
        <v>1501</v>
      </c>
      <c r="AE948" s="35" t="s">
        <v>281</v>
      </c>
      <c r="AF948" s="152" t="s">
        <v>666</v>
      </c>
      <c r="AG948" s="35" t="s">
        <v>144</v>
      </c>
      <c r="AH948" s="154" t="s">
        <v>144</v>
      </c>
      <c r="AL948" s="35" t="s">
        <v>754</v>
      </c>
      <c r="AM948" s="35" t="s">
        <v>754</v>
      </c>
      <c r="AN948" s="35" t="s">
        <v>212</v>
      </c>
      <c r="AO948" s="35" t="s">
        <v>755</v>
      </c>
      <c r="AP948" s="35" t="s">
        <v>755</v>
      </c>
      <c r="AQ948" s="35" t="s">
        <v>212</v>
      </c>
      <c r="AR948" s="35" t="s">
        <v>147</v>
      </c>
      <c r="AS948" s="35">
        <v>4</v>
      </c>
      <c r="AT948" s="35">
        <v>4</v>
      </c>
      <c r="AU948" s="35" t="s">
        <v>379</v>
      </c>
      <c r="FR948" s="35" t="s">
        <v>825</v>
      </c>
      <c r="FT948" s="35">
        <v>45</v>
      </c>
    </row>
    <row r="949" spans="1:176" s="26" customFormat="1" x14ac:dyDescent="0.25">
      <c r="A949" s="26">
        <v>45</v>
      </c>
      <c r="B949" s="26" t="s">
        <v>752</v>
      </c>
      <c r="C949" s="26" t="s">
        <v>753</v>
      </c>
      <c r="D949" s="26">
        <v>2005</v>
      </c>
      <c r="E949" s="26">
        <v>1996</v>
      </c>
      <c r="F949" s="26" t="s">
        <v>342</v>
      </c>
      <c r="G949" s="26" t="s">
        <v>613</v>
      </c>
      <c r="H949" s="26">
        <v>40.19</v>
      </c>
      <c r="I949" s="26">
        <v>-103.17</v>
      </c>
      <c r="J949" s="26">
        <v>1384</v>
      </c>
      <c r="P949" s="52">
        <v>3</v>
      </c>
      <c r="Q949" s="52"/>
      <c r="R949" s="52"/>
      <c r="S949" s="52" t="s">
        <v>1558</v>
      </c>
      <c r="T949" s="52" t="s">
        <v>1558</v>
      </c>
      <c r="U949" s="52" t="s">
        <v>1558</v>
      </c>
      <c r="V949" s="52" t="s">
        <v>1905</v>
      </c>
      <c r="Z949" s="26" t="s">
        <v>531</v>
      </c>
      <c r="AD949" s="26" t="s">
        <v>1501</v>
      </c>
      <c r="AE949" s="26" t="s">
        <v>1717</v>
      </c>
      <c r="AF949" s="152" t="s">
        <v>666</v>
      </c>
      <c r="AG949" s="26" t="s">
        <v>144</v>
      </c>
      <c r="AH949" s="154" t="s">
        <v>144</v>
      </c>
      <c r="AL949" s="26" t="s">
        <v>754</v>
      </c>
      <c r="AM949" s="26" t="s">
        <v>754</v>
      </c>
      <c r="AN949" s="26" t="s">
        <v>212</v>
      </c>
      <c r="AO949" s="26" t="s">
        <v>755</v>
      </c>
      <c r="AP949" s="26" t="s">
        <v>755</v>
      </c>
      <c r="AQ949" s="26" t="s">
        <v>212</v>
      </c>
      <c r="AR949" s="26" t="s">
        <v>147</v>
      </c>
      <c r="AS949" s="26">
        <v>4</v>
      </c>
      <c r="AT949" s="26">
        <v>4</v>
      </c>
      <c r="AU949" s="26" t="s">
        <v>379</v>
      </c>
      <c r="BD949" s="26">
        <v>4149</v>
      </c>
      <c r="BE949" s="26">
        <v>2948</v>
      </c>
      <c r="BM949" s="26">
        <f>(60+14)/2</f>
        <v>37</v>
      </c>
      <c r="BN949" s="26">
        <f>(51+11)/2</f>
        <v>31</v>
      </c>
      <c r="BO949" s="26" t="s">
        <v>772</v>
      </c>
      <c r="DL949" s="26">
        <v>349</v>
      </c>
      <c r="DM949" s="26">
        <v>239</v>
      </c>
      <c r="DN949" s="26" t="s">
        <v>756</v>
      </c>
      <c r="FR949" s="26" t="s">
        <v>825</v>
      </c>
      <c r="FT949" s="26">
        <v>45</v>
      </c>
    </row>
    <row r="950" spans="1:176" s="26" customFormat="1" x14ac:dyDescent="0.25">
      <c r="A950" s="26">
        <v>45</v>
      </c>
      <c r="B950" s="26" t="s">
        <v>752</v>
      </c>
      <c r="C950" s="26" t="s">
        <v>753</v>
      </c>
      <c r="D950" s="26">
        <v>2005</v>
      </c>
      <c r="E950" s="26">
        <v>1996</v>
      </c>
      <c r="F950" s="26" t="s">
        <v>342</v>
      </c>
      <c r="G950" s="26" t="s">
        <v>613</v>
      </c>
      <c r="H950" s="26">
        <v>40.19</v>
      </c>
      <c r="I950" s="26">
        <v>-103.17</v>
      </c>
      <c r="J950" s="26">
        <v>1384</v>
      </c>
      <c r="P950" s="52">
        <v>3</v>
      </c>
      <c r="Q950" s="52"/>
      <c r="R950" s="52"/>
      <c r="S950" s="52" t="s">
        <v>1558</v>
      </c>
      <c r="T950" s="52" t="s">
        <v>1558</v>
      </c>
      <c r="U950" s="52" t="s">
        <v>1558</v>
      </c>
      <c r="V950" s="52" t="s">
        <v>1905</v>
      </c>
      <c r="Z950" s="26" t="s">
        <v>531</v>
      </c>
      <c r="AD950" s="26" t="s">
        <v>1501</v>
      </c>
      <c r="AE950" s="26" t="s">
        <v>1718</v>
      </c>
      <c r="AF950" s="152" t="s">
        <v>666</v>
      </c>
      <c r="AG950" s="26" t="s">
        <v>144</v>
      </c>
      <c r="AH950" s="154" t="s">
        <v>144</v>
      </c>
      <c r="AL950" s="26" t="s">
        <v>754</v>
      </c>
      <c r="AM950" s="26" t="s">
        <v>754</v>
      </c>
      <c r="AN950" s="26" t="s">
        <v>212</v>
      </c>
      <c r="AO950" s="26" t="s">
        <v>755</v>
      </c>
      <c r="AP950" s="26" t="s">
        <v>755</v>
      </c>
      <c r="AQ950" s="26" t="s">
        <v>212</v>
      </c>
      <c r="AR950" s="26" t="s">
        <v>147</v>
      </c>
      <c r="AS950" s="26">
        <v>4</v>
      </c>
      <c r="AT950" s="26">
        <v>4</v>
      </c>
      <c r="AU950" s="26" t="s">
        <v>379</v>
      </c>
      <c r="BD950" s="26">
        <v>4149</v>
      </c>
      <c r="BE950" s="26">
        <v>3164</v>
      </c>
      <c r="BM950" s="26">
        <f t="shared" ref="BM950:BM951" si="220">(60+14)/2</f>
        <v>37</v>
      </c>
      <c r="BN950" s="26">
        <f>(43+11)/2</f>
        <v>27</v>
      </c>
      <c r="BO950" s="26" t="s">
        <v>772</v>
      </c>
      <c r="DL950" s="26">
        <v>349</v>
      </c>
      <c r="DM950" s="26">
        <v>261</v>
      </c>
      <c r="DN950" s="26" t="s">
        <v>756</v>
      </c>
      <c r="FR950" s="26" t="s">
        <v>825</v>
      </c>
      <c r="FT950" s="26">
        <v>45</v>
      </c>
    </row>
    <row r="951" spans="1:176" s="26" customFormat="1" x14ac:dyDescent="0.25">
      <c r="A951" s="26">
        <v>45</v>
      </c>
      <c r="B951" s="26" t="s">
        <v>752</v>
      </c>
      <c r="C951" s="26" t="s">
        <v>753</v>
      </c>
      <c r="D951" s="26">
        <v>2005</v>
      </c>
      <c r="E951" s="26">
        <v>1996</v>
      </c>
      <c r="F951" s="26" t="s">
        <v>342</v>
      </c>
      <c r="G951" s="26" t="s">
        <v>613</v>
      </c>
      <c r="H951" s="26">
        <v>40.19</v>
      </c>
      <c r="I951" s="26">
        <v>-103.17</v>
      </c>
      <c r="J951" s="26">
        <v>1384</v>
      </c>
      <c r="P951" s="52">
        <v>3</v>
      </c>
      <c r="Q951" s="52"/>
      <c r="R951" s="52"/>
      <c r="S951" s="52" t="s">
        <v>1558</v>
      </c>
      <c r="T951" s="52" t="s">
        <v>1558</v>
      </c>
      <c r="U951" s="52" t="s">
        <v>1558</v>
      </c>
      <c r="V951" s="52" t="s">
        <v>1905</v>
      </c>
      <c r="Z951" s="26" t="s">
        <v>531</v>
      </c>
      <c r="AD951" s="26" t="s">
        <v>1501</v>
      </c>
      <c r="AE951" s="26" t="s">
        <v>650</v>
      </c>
      <c r="AF951" s="152" t="s">
        <v>666</v>
      </c>
      <c r="AG951" s="26" t="s">
        <v>144</v>
      </c>
      <c r="AH951" s="154" t="s">
        <v>144</v>
      </c>
      <c r="AL951" s="26" t="s">
        <v>754</v>
      </c>
      <c r="AM951" s="26" t="s">
        <v>754</v>
      </c>
      <c r="AN951" s="26" t="s">
        <v>212</v>
      </c>
      <c r="AO951" s="26" t="s">
        <v>755</v>
      </c>
      <c r="AP951" s="26" t="s">
        <v>755</v>
      </c>
      <c r="AQ951" s="26" t="s">
        <v>212</v>
      </c>
      <c r="AR951" s="26" t="s">
        <v>147</v>
      </c>
      <c r="AS951" s="26">
        <v>4</v>
      </c>
      <c r="AT951" s="26">
        <v>4</v>
      </c>
      <c r="AU951" s="26" t="s">
        <v>379</v>
      </c>
      <c r="BD951" s="26">
        <v>4149</v>
      </c>
      <c r="BE951" s="26">
        <v>2749</v>
      </c>
      <c r="BM951" s="26">
        <f t="shared" si="220"/>
        <v>37</v>
      </c>
      <c r="BN951" s="26">
        <f>(42+10)/2</f>
        <v>26</v>
      </c>
      <c r="BO951" s="26" t="s">
        <v>772</v>
      </c>
      <c r="DL951" s="26">
        <v>349</v>
      </c>
      <c r="DM951" s="26">
        <v>251</v>
      </c>
      <c r="DN951" s="26" t="s">
        <v>756</v>
      </c>
      <c r="FR951" s="26" t="s">
        <v>825</v>
      </c>
      <c r="FT951" s="26">
        <v>45</v>
      </c>
    </row>
    <row r="952" spans="1:176" s="26" customFormat="1" x14ac:dyDescent="0.25">
      <c r="A952" s="26">
        <v>45</v>
      </c>
      <c r="B952" s="26" t="s">
        <v>752</v>
      </c>
      <c r="C952" s="26" t="s">
        <v>753</v>
      </c>
      <c r="D952" s="26">
        <v>2005</v>
      </c>
      <c r="E952" s="26">
        <v>1996</v>
      </c>
      <c r="F952" s="26" t="s">
        <v>342</v>
      </c>
      <c r="G952" s="26" t="s">
        <v>613</v>
      </c>
      <c r="H952" s="26">
        <v>40.19</v>
      </c>
      <c r="I952" s="26">
        <v>-103.17</v>
      </c>
      <c r="J952" s="26">
        <v>1384</v>
      </c>
      <c r="P952" s="52">
        <v>3</v>
      </c>
      <c r="Q952" s="52"/>
      <c r="R952" s="52"/>
      <c r="S952" s="52" t="s">
        <v>1558</v>
      </c>
      <c r="T952" s="52" t="s">
        <v>1558</v>
      </c>
      <c r="U952" s="52" t="s">
        <v>1558</v>
      </c>
      <c r="V952" s="52" t="s">
        <v>1905</v>
      </c>
      <c r="Z952" s="26" t="s">
        <v>531</v>
      </c>
      <c r="AD952" s="26" t="s">
        <v>1501</v>
      </c>
      <c r="AE952" s="26" t="s">
        <v>281</v>
      </c>
      <c r="AF952" s="152" t="s">
        <v>666</v>
      </c>
      <c r="AG952" s="26" t="s">
        <v>144</v>
      </c>
      <c r="AH952" s="154" t="s">
        <v>144</v>
      </c>
      <c r="AL952" s="26" t="s">
        <v>754</v>
      </c>
      <c r="AM952" s="26" t="s">
        <v>754</v>
      </c>
      <c r="AN952" s="26" t="s">
        <v>212</v>
      </c>
      <c r="AO952" s="26" t="s">
        <v>755</v>
      </c>
      <c r="AP952" s="26" t="s">
        <v>755</v>
      </c>
      <c r="AQ952" s="26" t="s">
        <v>212</v>
      </c>
      <c r="AR952" s="26" t="s">
        <v>147</v>
      </c>
      <c r="AS952" s="26">
        <v>4</v>
      </c>
      <c r="AT952" s="26">
        <v>4</v>
      </c>
      <c r="AU952" s="26" t="s">
        <v>379</v>
      </c>
      <c r="FR952" s="26" t="s">
        <v>825</v>
      </c>
      <c r="FT952" s="26">
        <v>45</v>
      </c>
    </row>
    <row r="953" spans="1:176" s="35" customFormat="1" x14ac:dyDescent="0.25">
      <c r="A953" s="35">
        <v>45</v>
      </c>
      <c r="B953" s="35" t="s">
        <v>752</v>
      </c>
      <c r="C953" s="35" t="s">
        <v>753</v>
      </c>
      <c r="D953" s="35">
        <v>2005</v>
      </c>
      <c r="E953" s="35">
        <v>1997</v>
      </c>
      <c r="F953" s="35" t="s">
        <v>342</v>
      </c>
      <c r="G953" s="35" t="s">
        <v>613</v>
      </c>
      <c r="H953" s="35">
        <v>40.19</v>
      </c>
      <c r="I953" s="35">
        <v>-103.17</v>
      </c>
      <c r="J953" s="35">
        <v>1384</v>
      </c>
      <c r="P953" s="54">
        <v>4</v>
      </c>
      <c r="Q953" s="54"/>
      <c r="R953" s="54"/>
      <c r="S953" s="54" t="s">
        <v>1558</v>
      </c>
      <c r="T953" s="54" t="s">
        <v>1558</v>
      </c>
      <c r="U953" s="54" t="s">
        <v>1558</v>
      </c>
      <c r="V953" s="54" t="s">
        <v>1905</v>
      </c>
      <c r="Z953" s="35" t="s">
        <v>531</v>
      </c>
      <c r="AD953" s="35" t="s">
        <v>1501</v>
      </c>
      <c r="AE953" s="35" t="s">
        <v>1717</v>
      </c>
      <c r="AF953" s="152" t="s">
        <v>666</v>
      </c>
      <c r="AG953" s="35" t="s">
        <v>144</v>
      </c>
      <c r="AH953" s="154" t="s">
        <v>144</v>
      </c>
      <c r="AL953" s="35" t="s">
        <v>754</v>
      </c>
      <c r="AM953" s="35" t="s">
        <v>754</v>
      </c>
      <c r="AN953" s="35" t="s">
        <v>212</v>
      </c>
      <c r="AO953" s="35" t="s">
        <v>755</v>
      </c>
      <c r="AP953" s="35" t="s">
        <v>755</v>
      </c>
      <c r="AQ953" s="35" t="s">
        <v>212</v>
      </c>
      <c r="AR953" s="35" t="s">
        <v>147</v>
      </c>
      <c r="AS953" s="35">
        <v>4</v>
      </c>
      <c r="AT953" s="35">
        <v>4</v>
      </c>
      <c r="AU953" s="35" t="s">
        <v>379</v>
      </c>
      <c r="BD953" s="35">
        <v>2453</v>
      </c>
      <c r="BE953" s="35">
        <v>1917</v>
      </c>
      <c r="BM953" s="35">
        <f>(64+19)/2</f>
        <v>41.5</v>
      </c>
      <c r="BN953" s="35">
        <f>(64+9)/2</f>
        <v>36.5</v>
      </c>
      <c r="BO953" s="35" t="s">
        <v>772</v>
      </c>
      <c r="DL953" s="35">
        <v>288</v>
      </c>
      <c r="DM953" s="35">
        <v>219</v>
      </c>
      <c r="DN953" s="35" t="s">
        <v>756</v>
      </c>
      <c r="FR953" s="35" t="s">
        <v>825</v>
      </c>
      <c r="FT953" s="35">
        <v>45</v>
      </c>
    </row>
    <row r="954" spans="1:176" s="35" customFormat="1" x14ac:dyDescent="0.25">
      <c r="A954" s="35">
        <v>45</v>
      </c>
      <c r="B954" s="35" t="s">
        <v>752</v>
      </c>
      <c r="C954" s="35" t="s">
        <v>753</v>
      </c>
      <c r="D954" s="35">
        <v>2005</v>
      </c>
      <c r="E954" s="35">
        <v>1997</v>
      </c>
      <c r="F954" s="35" t="s">
        <v>342</v>
      </c>
      <c r="G954" s="35" t="s">
        <v>613</v>
      </c>
      <c r="H954" s="35">
        <v>40.19</v>
      </c>
      <c r="I954" s="35">
        <v>-103.17</v>
      </c>
      <c r="J954" s="35">
        <v>1384</v>
      </c>
      <c r="P954" s="54">
        <v>4</v>
      </c>
      <c r="Q954" s="54"/>
      <c r="R954" s="54"/>
      <c r="S954" s="54" t="s">
        <v>1558</v>
      </c>
      <c r="T954" s="54" t="s">
        <v>1558</v>
      </c>
      <c r="U954" s="54" t="s">
        <v>1558</v>
      </c>
      <c r="V954" s="54" t="s">
        <v>1905</v>
      </c>
      <c r="Z954" s="35" t="s">
        <v>531</v>
      </c>
      <c r="AD954" s="35" t="s">
        <v>1501</v>
      </c>
      <c r="AE954" s="35" t="s">
        <v>1718</v>
      </c>
      <c r="AF954" s="152" t="s">
        <v>666</v>
      </c>
      <c r="AG954" s="35" t="s">
        <v>144</v>
      </c>
      <c r="AH954" s="154" t="s">
        <v>144</v>
      </c>
      <c r="AL954" s="35" t="s">
        <v>754</v>
      </c>
      <c r="AM954" s="35" t="s">
        <v>754</v>
      </c>
      <c r="AN954" s="35" t="s">
        <v>212</v>
      </c>
      <c r="AO954" s="35" t="s">
        <v>755</v>
      </c>
      <c r="AP954" s="35" t="s">
        <v>755</v>
      </c>
      <c r="AQ954" s="35" t="s">
        <v>212</v>
      </c>
      <c r="AR954" s="35" t="s">
        <v>147</v>
      </c>
      <c r="AS954" s="35">
        <v>4</v>
      </c>
      <c r="AT954" s="35">
        <v>4</v>
      </c>
      <c r="AU954" s="35" t="s">
        <v>379</v>
      </c>
      <c r="BD954" s="35">
        <v>2453</v>
      </c>
      <c r="BE954" s="35">
        <v>2024</v>
      </c>
      <c r="BM954" s="35">
        <f t="shared" ref="BM954:BM956" si="221">(64+19)/2</f>
        <v>41.5</v>
      </c>
      <c r="BN954" s="35">
        <f>(45+9)/2</f>
        <v>27</v>
      </c>
      <c r="BO954" s="35" t="s">
        <v>772</v>
      </c>
      <c r="DL954" s="35">
        <v>288</v>
      </c>
      <c r="DM954" s="35">
        <v>207</v>
      </c>
      <c r="DN954" s="35" t="s">
        <v>756</v>
      </c>
      <c r="FR954" s="35" t="s">
        <v>825</v>
      </c>
      <c r="FT954" s="35">
        <v>45</v>
      </c>
    </row>
    <row r="955" spans="1:176" s="35" customFormat="1" x14ac:dyDescent="0.25">
      <c r="A955" s="35">
        <v>45</v>
      </c>
      <c r="B955" s="35" t="s">
        <v>752</v>
      </c>
      <c r="C955" s="35" t="s">
        <v>753</v>
      </c>
      <c r="D955" s="35">
        <v>2005</v>
      </c>
      <c r="E955" s="35">
        <v>1997</v>
      </c>
      <c r="F955" s="35" t="s">
        <v>342</v>
      </c>
      <c r="G955" s="35" t="s">
        <v>613</v>
      </c>
      <c r="H955" s="35">
        <v>40.19</v>
      </c>
      <c r="I955" s="35">
        <v>-103.17</v>
      </c>
      <c r="J955" s="35">
        <v>1384</v>
      </c>
      <c r="P955" s="54">
        <v>4</v>
      </c>
      <c r="Q955" s="54"/>
      <c r="R955" s="54"/>
      <c r="S955" s="54" t="s">
        <v>1558</v>
      </c>
      <c r="T955" s="54" t="s">
        <v>1558</v>
      </c>
      <c r="U955" s="54" t="s">
        <v>1558</v>
      </c>
      <c r="V955" s="54" t="s">
        <v>1905</v>
      </c>
      <c r="Z955" s="35" t="s">
        <v>531</v>
      </c>
      <c r="AD955" s="35" t="s">
        <v>1501</v>
      </c>
      <c r="AE955" s="35" t="s">
        <v>650</v>
      </c>
      <c r="AF955" s="152" t="s">
        <v>666</v>
      </c>
      <c r="AG955" s="35" t="s">
        <v>144</v>
      </c>
      <c r="AH955" s="154" t="s">
        <v>144</v>
      </c>
      <c r="AL955" s="35" t="s">
        <v>754</v>
      </c>
      <c r="AM955" s="35" t="s">
        <v>754</v>
      </c>
      <c r="AN955" s="35" t="s">
        <v>212</v>
      </c>
      <c r="AO955" s="35" t="s">
        <v>755</v>
      </c>
      <c r="AP955" s="35" t="s">
        <v>755</v>
      </c>
      <c r="AQ955" s="35" t="s">
        <v>212</v>
      </c>
      <c r="AR955" s="35" t="s">
        <v>147</v>
      </c>
      <c r="AS955" s="35">
        <v>4</v>
      </c>
      <c r="AT955" s="35">
        <v>4</v>
      </c>
      <c r="AU955" s="35" t="s">
        <v>379</v>
      </c>
      <c r="FR955" s="35" t="s">
        <v>825</v>
      </c>
      <c r="FT955" s="35">
        <v>45</v>
      </c>
    </row>
    <row r="956" spans="1:176" s="35" customFormat="1" x14ac:dyDescent="0.25">
      <c r="A956" s="35">
        <v>45</v>
      </c>
      <c r="B956" s="35" t="s">
        <v>752</v>
      </c>
      <c r="C956" s="35" t="s">
        <v>753</v>
      </c>
      <c r="D956" s="35">
        <v>2005</v>
      </c>
      <c r="E956" s="35">
        <v>1997</v>
      </c>
      <c r="F956" s="35" t="s">
        <v>342</v>
      </c>
      <c r="G956" s="35" t="s">
        <v>613</v>
      </c>
      <c r="H956" s="35">
        <v>40.19</v>
      </c>
      <c r="I956" s="35">
        <v>-103.17</v>
      </c>
      <c r="J956" s="35">
        <v>1384</v>
      </c>
      <c r="P956" s="54">
        <v>4</v>
      </c>
      <c r="Q956" s="54"/>
      <c r="R956" s="54"/>
      <c r="S956" s="54" t="s">
        <v>1558</v>
      </c>
      <c r="T956" s="54" t="s">
        <v>1558</v>
      </c>
      <c r="U956" s="54" t="s">
        <v>1558</v>
      </c>
      <c r="V956" s="54" t="s">
        <v>1905</v>
      </c>
      <c r="Z956" s="35" t="s">
        <v>531</v>
      </c>
      <c r="AD956" s="35" t="s">
        <v>1501</v>
      </c>
      <c r="AE956" s="35" t="s">
        <v>281</v>
      </c>
      <c r="AF956" s="152" t="s">
        <v>666</v>
      </c>
      <c r="AG956" s="35" t="s">
        <v>144</v>
      </c>
      <c r="AH956" s="154" t="s">
        <v>144</v>
      </c>
      <c r="AL956" s="35" t="s">
        <v>754</v>
      </c>
      <c r="AM956" s="35" t="s">
        <v>754</v>
      </c>
      <c r="AN956" s="35" t="s">
        <v>212</v>
      </c>
      <c r="AO956" s="35" t="s">
        <v>755</v>
      </c>
      <c r="AP956" s="35" t="s">
        <v>755</v>
      </c>
      <c r="AQ956" s="35" t="s">
        <v>212</v>
      </c>
      <c r="AR956" s="35" t="s">
        <v>147</v>
      </c>
      <c r="AS956" s="35">
        <v>4</v>
      </c>
      <c r="AT956" s="35">
        <v>4</v>
      </c>
      <c r="AU956" s="35" t="s">
        <v>379</v>
      </c>
      <c r="BD956" s="35">
        <v>2453</v>
      </c>
      <c r="BE956" s="35">
        <v>1857</v>
      </c>
      <c r="BM956" s="35">
        <f t="shared" si="221"/>
        <v>41.5</v>
      </c>
      <c r="BN956" s="35">
        <f>(58+10)/2</f>
        <v>34</v>
      </c>
      <c r="BO956" s="35" t="s">
        <v>772</v>
      </c>
      <c r="DL956" s="35">
        <v>288</v>
      </c>
      <c r="DM956" s="35">
        <v>205</v>
      </c>
      <c r="DN956" s="35" t="s">
        <v>756</v>
      </c>
      <c r="FR956" s="35" t="s">
        <v>825</v>
      </c>
      <c r="FT956" s="35">
        <v>45</v>
      </c>
    </row>
    <row r="957" spans="1:176" s="26" customFormat="1" x14ac:dyDescent="0.25">
      <c r="A957" s="26">
        <v>45</v>
      </c>
      <c r="B957" s="26" t="s">
        <v>752</v>
      </c>
      <c r="C957" s="26" t="s">
        <v>753</v>
      </c>
      <c r="D957" s="26">
        <v>2005</v>
      </c>
      <c r="E957" s="26">
        <v>1998</v>
      </c>
      <c r="F957" s="26" t="s">
        <v>342</v>
      </c>
      <c r="G957" s="26" t="s">
        <v>613</v>
      </c>
      <c r="H957" s="26">
        <v>40.19</v>
      </c>
      <c r="I957" s="26">
        <v>-103.17</v>
      </c>
      <c r="J957" s="26">
        <v>1384</v>
      </c>
      <c r="P957" s="52">
        <v>5</v>
      </c>
      <c r="Q957" s="52"/>
      <c r="R957" s="52"/>
      <c r="S957" s="52" t="s">
        <v>1558</v>
      </c>
      <c r="T957" s="52" t="s">
        <v>1558</v>
      </c>
      <c r="U957" s="52" t="s">
        <v>1558</v>
      </c>
      <c r="V957" s="52" t="s">
        <v>1905</v>
      </c>
      <c r="Z957" s="26" t="s">
        <v>531</v>
      </c>
      <c r="AD957" s="26" t="s">
        <v>1501</v>
      </c>
      <c r="AE957" s="26" t="s">
        <v>1717</v>
      </c>
      <c r="AF957" s="152" t="s">
        <v>666</v>
      </c>
      <c r="AG957" s="26" t="s">
        <v>144</v>
      </c>
      <c r="AH957" s="154" t="s">
        <v>144</v>
      </c>
      <c r="AL957" s="26" t="s">
        <v>754</v>
      </c>
      <c r="AM957" s="26" t="s">
        <v>754</v>
      </c>
      <c r="AN957" s="26" t="s">
        <v>212</v>
      </c>
      <c r="AO957" s="26" t="s">
        <v>755</v>
      </c>
      <c r="AP957" s="26" t="s">
        <v>755</v>
      </c>
      <c r="AQ957" s="26" t="s">
        <v>212</v>
      </c>
      <c r="AR957" s="26" t="s">
        <v>147</v>
      </c>
      <c r="AS957" s="26">
        <v>4</v>
      </c>
      <c r="AT957" s="26">
        <v>4</v>
      </c>
      <c r="AU957" s="26" t="s">
        <v>379</v>
      </c>
      <c r="BD957" s="26">
        <v>4470</v>
      </c>
      <c r="BE957" s="26">
        <v>2327</v>
      </c>
      <c r="BM957" s="26">
        <f>(25+10)/2</f>
        <v>17.5</v>
      </c>
      <c r="BN957" s="26">
        <f>(34+10)/2</f>
        <v>22</v>
      </c>
      <c r="BO957" s="26" t="s">
        <v>772</v>
      </c>
      <c r="DL957" s="26">
        <v>283</v>
      </c>
      <c r="DM957" s="26">
        <v>158</v>
      </c>
      <c r="DN957" s="26" t="s">
        <v>756</v>
      </c>
      <c r="FR957" s="26" t="s">
        <v>825</v>
      </c>
      <c r="FT957" s="26">
        <v>45</v>
      </c>
    </row>
    <row r="958" spans="1:176" s="26" customFormat="1" x14ac:dyDescent="0.25">
      <c r="A958" s="26">
        <v>45</v>
      </c>
      <c r="B958" s="26" t="s">
        <v>752</v>
      </c>
      <c r="C958" s="26" t="s">
        <v>753</v>
      </c>
      <c r="D958" s="26">
        <v>2005</v>
      </c>
      <c r="E958" s="26">
        <v>1998</v>
      </c>
      <c r="F958" s="26" t="s">
        <v>342</v>
      </c>
      <c r="G958" s="26" t="s">
        <v>613</v>
      </c>
      <c r="H958" s="26">
        <v>40.19</v>
      </c>
      <c r="I958" s="26">
        <v>-103.17</v>
      </c>
      <c r="J958" s="26">
        <v>1384</v>
      </c>
      <c r="P958" s="52">
        <v>5</v>
      </c>
      <c r="Q958" s="52"/>
      <c r="R958" s="52"/>
      <c r="S958" s="52" t="s">
        <v>1558</v>
      </c>
      <c r="T958" s="52" t="s">
        <v>1558</v>
      </c>
      <c r="U958" s="52" t="s">
        <v>1558</v>
      </c>
      <c r="V958" s="52" t="s">
        <v>1905</v>
      </c>
      <c r="Z958" s="26" t="s">
        <v>531</v>
      </c>
      <c r="AD958" s="26" t="s">
        <v>1501</v>
      </c>
      <c r="AE958" s="26" t="s">
        <v>1718</v>
      </c>
      <c r="AF958" s="152" t="s">
        <v>666</v>
      </c>
      <c r="AG958" s="26" t="s">
        <v>144</v>
      </c>
      <c r="AH958" s="154" t="s">
        <v>144</v>
      </c>
      <c r="AL958" s="26" t="s">
        <v>754</v>
      </c>
      <c r="AM958" s="26" t="s">
        <v>754</v>
      </c>
      <c r="AN958" s="26" t="s">
        <v>212</v>
      </c>
      <c r="AO958" s="26" t="s">
        <v>755</v>
      </c>
      <c r="AP958" s="26" t="s">
        <v>755</v>
      </c>
      <c r="AQ958" s="26" t="s">
        <v>212</v>
      </c>
      <c r="AR958" s="26" t="s">
        <v>147</v>
      </c>
      <c r="AS958" s="26">
        <v>4</v>
      </c>
      <c r="AT958" s="26">
        <v>4</v>
      </c>
      <c r="AU958" s="26" t="s">
        <v>379</v>
      </c>
      <c r="BD958" s="26">
        <v>4470</v>
      </c>
      <c r="BE958" s="26">
        <v>2269</v>
      </c>
      <c r="BM958" s="26">
        <f t="shared" ref="BM958:BM960" si="222">(25+10)/2</f>
        <v>17.5</v>
      </c>
      <c r="BN958" s="26">
        <f>(24+11)/2</f>
        <v>17.5</v>
      </c>
      <c r="BO958" s="26" t="s">
        <v>772</v>
      </c>
      <c r="DL958" s="26">
        <v>283</v>
      </c>
      <c r="DM958" s="26">
        <v>216</v>
      </c>
      <c r="DN958" s="26" t="s">
        <v>756</v>
      </c>
      <c r="FR958" s="26" t="s">
        <v>825</v>
      </c>
      <c r="FT958" s="26">
        <v>45</v>
      </c>
    </row>
    <row r="959" spans="1:176" s="26" customFormat="1" x14ac:dyDescent="0.25">
      <c r="A959" s="26">
        <v>45</v>
      </c>
      <c r="B959" s="26" t="s">
        <v>752</v>
      </c>
      <c r="C959" s="26" t="s">
        <v>753</v>
      </c>
      <c r="D959" s="26">
        <v>2005</v>
      </c>
      <c r="E959" s="26">
        <v>1998</v>
      </c>
      <c r="F959" s="26" t="s">
        <v>342</v>
      </c>
      <c r="G959" s="26" t="s">
        <v>613</v>
      </c>
      <c r="H959" s="26">
        <v>40.19</v>
      </c>
      <c r="I959" s="26">
        <v>-103.17</v>
      </c>
      <c r="J959" s="26">
        <v>1384</v>
      </c>
      <c r="P959" s="52">
        <v>5</v>
      </c>
      <c r="Q959" s="52"/>
      <c r="R959" s="52"/>
      <c r="S959" s="52" t="s">
        <v>1558</v>
      </c>
      <c r="T959" s="52" t="s">
        <v>1558</v>
      </c>
      <c r="U959" s="52" t="s">
        <v>1558</v>
      </c>
      <c r="V959" s="52" t="s">
        <v>1905</v>
      </c>
      <c r="Z959" s="26" t="s">
        <v>531</v>
      </c>
      <c r="AD959" s="26" t="s">
        <v>1501</v>
      </c>
      <c r="AE959" s="26" t="s">
        <v>650</v>
      </c>
      <c r="AF959" s="152" t="s">
        <v>666</v>
      </c>
      <c r="AG959" s="26" t="s">
        <v>144</v>
      </c>
      <c r="AH959" s="154" t="s">
        <v>144</v>
      </c>
      <c r="AL959" s="26" t="s">
        <v>754</v>
      </c>
      <c r="AM959" s="26" t="s">
        <v>754</v>
      </c>
      <c r="AN959" s="26" t="s">
        <v>212</v>
      </c>
      <c r="AO959" s="26" t="s">
        <v>755</v>
      </c>
      <c r="AP959" s="26" t="s">
        <v>755</v>
      </c>
      <c r="AQ959" s="26" t="s">
        <v>212</v>
      </c>
      <c r="AR959" s="26" t="s">
        <v>147</v>
      </c>
      <c r="AS959" s="26">
        <v>4</v>
      </c>
      <c r="AT959" s="26">
        <v>4</v>
      </c>
      <c r="AU959" s="26" t="s">
        <v>379</v>
      </c>
      <c r="FR959" s="26" t="s">
        <v>825</v>
      </c>
      <c r="FT959" s="26">
        <v>45</v>
      </c>
    </row>
    <row r="960" spans="1:176" s="26" customFormat="1" x14ac:dyDescent="0.25">
      <c r="A960" s="26">
        <v>45</v>
      </c>
      <c r="B960" s="26" t="s">
        <v>752</v>
      </c>
      <c r="C960" s="26" t="s">
        <v>753</v>
      </c>
      <c r="D960" s="26">
        <v>2005</v>
      </c>
      <c r="E960" s="26">
        <v>1998</v>
      </c>
      <c r="F960" s="26" t="s">
        <v>342</v>
      </c>
      <c r="G960" s="26" t="s">
        <v>613</v>
      </c>
      <c r="H960" s="26">
        <v>40.19</v>
      </c>
      <c r="I960" s="26">
        <v>-103.17</v>
      </c>
      <c r="J960" s="26">
        <v>1384</v>
      </c>
      <c r="P960" s="52">
        <v>5</v>
      </c>
      <c r="Q960" s="52"/>
      <c r="R960" s="52"/>
      <c r="S960" s="52" t="s">
        <v>1558</v>
      </c>
      <c r="T960" s="52" t="s">
        <v>1558</v>
      </c>
      <c r="U960" s="52" t="s">
        <v>1558</v>
      </c>
      <c r="V960" s="52" t="s">
        <v>1905</v>
      </c>
      <c r="Z960" s="26" t="s">
        <v>531</v>
      </c>
      <c r="AD960" s="26" t="s">
        <v>1501</v>
      </c>
      <c r="AE960" s="26" t="s">
        <v>281</v>
      </c>
      <c r="AF960" s="152" t="s">
        <v>666</v>
      </c>
      <c r="AG960" s="26" t="s">
        <v>144</v>
      </c>
      <c r="AH960" s="154" t="s">
        <v>144</v>
      </c>
      <c r="AL960" s="26" t="s">
        <v>754</v>
      </c>
      <c r="AM960" s="26" t="s">
        <v>754</v>
      </c>
      <c r="AN960" s="26" t="s">
        <v>212</v>
      </c>
      <c r="AO960" s="26" t="s">
        <v>755</v>
      </c>
      <c r="AP960" s="26" t="s">
        <v>755</v>
      </c>
      <c r="AQ960" s="26" t="s">
        <v>212</v>
      </c>
      <c r="AR960" s="26" t="s">
        <v>147</v>
      </c>
      <c r="AS960" s="26">
        <v>4</v>
      </c>
      <c r="AT960" s="26">
        <v>4</v>
      </c>
      <c r="AU960" s="26" t="s">
        <v>379</v>
      </c>
      <c r="BD960" s="26">
        <v>4470</v>
      </c>
      <c r="BE960" s="26">
        <v>2293</v>
      </c>
      <c r="BM960" s="26">
        <f t="shared" si="222"/>
        <v>17.5</v>
      </c>
      <c r="BN960" s="26">
        <f>(32+11)/2</f>
        <v>21.5</v>
      </c>
      <c r="BO960" s="26" t="s">
        <v>772</v>
      </c>
      <c r="DL960" s="26">
        <v>283</v>
      </c>
      <c r="DM960" s="26">
        <v>165</v>
      </c>
      <c r="DN960" s="26" t="s">
        <v>756</v>
      </c>
      <c r="FR960" s="26" t="s">
        <v>825</v>
      </c>
      <c r="FT960" s="26">
        <v>45</v>
      </c>
    </row>
    <row r="961" spans="1:176" s="35" customFormat="1" x14ac:dyDescent="0.25">
      <c r="A961" s="35">
        <v>45</v>
      </c>
      <c r="B961" s="35" t="s">
        <v>752</v>
      </c>
      <c r="C961" s="35" t="s">
        <v>753</v>
      </c>
      <c r="D961" s="35">
        <v>2005</v>
      </c>
      <c r="E961" s="35">
        <v>1999</v>
      </c>
      <c r="F961" s="35" t="s">
        <v>342</v>
      </c>
      <c r="G961" s="35" t="s">
        <v>613</v>
      </c>
      <c r="H961" s="35">
        <v>40.19</v>
      </c>
      <c r="I961" s="35">
        <v>-103.17</v>
      </c>
      <c r="J961" s="35">
        <v>1384</v>
      </c>
      <c r="P961" s="54">
        <v>6</v>
      </c>
      <c r="Q961" s="54"/>
      <c r="R961" s="54"/>
      <c r="S961" s="54" t="s">
        <v>1558</v>
      </c>
      <c r="T961" s="54" t="s">
        <v>1558</v>
      </c>
      <c r="U961" s="54" t="s">
        <v>1558</v>
      </c>
      <c r="V961" s="54" t="s">
        <v>1905</v>
      </c>
      <c r="Z961" s="35" t="s">
        <v>531</v>
      </c>
      <c r="AD961" s="35" t="s">
        <v>1501</v>
      </c>
      <c r="AE961" s="35" t="s">
        <v>1717</v>
      </c>
      <c r="AF961" s="152" t="s">
        <v>666</v>
      </c>
      <c r="AG961" s="35" t="s">
        <v>144</v>
      </c>
      <c r="AH961" s="154" t="s">
        <v>144</v>
      </c>
      <c r="AL961" s="35" t="s">
        <v>754</v>
      </c>
      <c r="AM961" s="35" t="s">
        <v>754</v>
      </c>
      <c r="AN961" s="35" t="s">
        <v>212</v>
      </c>
      <c r="AO961" s="35" t="s">
        <v>755</v>
      </c>
      <c r="AP961" s="35" t="s">
        <v>755</v>
      </c>
      <c r="AQ961" s="35" t="s">
        <v>212</v>
      </c>
      <c r="AR961" s="35" t="s">
        <v>147</v>
      </c>
      <c r="AS961" s="35">
        <v>4</v>
      </c>
      <c r="AT961" s="35">
        <v>4</v>
      </c>
      <c r="AU961" s="35" t="s">
        <v>379</v>
      </c>
      <c r="BD961" s="35">
        <v>2455</v>
      </c>
      <c r="BE961" s="35">
        <v>2007</v>
      </c>
      <c r="BM961" s="35">
        <f>(59+14)/2</f>
        <v>36.5</v>
      </c>
      <c r="BN961" s="35">
        <f>(76+13)/2</f>
        <v>44.5</v>
      </c>
      <c r="BO961" s="35" t="s">
        <v>772</v>
      </c>
      <c r="DL961" s="35">
        <v>455</v>
      </c>
      <c r="DM961" s="35">
        <v>379</v>
      </c>
      <c r="DN961" s="35" t="s">
        <v>756</v>
      </c>
      <c r="FR961" s="35" t="s">
        <v>825</v>
      </c>
      <c r="FT961" s="35">
        <v>45</v>
      </c>
    </row>
    <row r="962" spans="1:176" s="35" customFormat="1" x14ac:dyDescent="0.25">
      <c r="A962" s="35">
        <v>45</v>
      </c>
      <c r="B962" s="35" t="s">
        <v>752</v>
      </c>
      <c r="C962" s="35" t="s">
        <v>753</v>
      </c>
      <c r="D962" s="35">
        <v>2005</v>
      </c>
      <c r="E962" s="35">
        <v>1999</v>
      </c>
      <c r="F962" s="35" t="s">
        <v>342</v>
      </c>
      <c r="G962" s="35" t="s">
        <v>613</v>
      </c>
      <c r="H962" s="35">
        <v>40.19</v>
      </c>
      <c r="I962" s="35">
        <v>-103.17</v>
      </c>
      <c r="J962" s="35">
        <v>1384</v>
      </c>
      <c r="P962" s="54">
        <v>6</v>
      </c>
      <c r="Q962" s="54"/>
      <c r="R962" s="54"/>
      <c r="S962" s="54" t="s">
        <v>1558</v>
      </c>
      <c r="T962" s="54" t="s">
        <v>1558</v>
      </c>
      <c r="U962" s="54" t="s">
        <v>1558</v>
      </c>
      <c r="V962" s="54" t="s">
        <v>1905</v>
      </c>
      <c r="Z962" s="35" t="s">
        <v>531</v>
      </c>
      <c r="AD962" s="35" t="s">
        <v>1501</v>
      </c>
      <c r="AE962" s="35" t="s">
        <v>1718</v>
      </c>
      <c r="AF962" s="152" t="s">
        <v>666</v>
      </c>
      <c r="AG962" s="35" t="s">
        <v>144</v>
      </c>
      <c r="AH962" s="154" t="s">
        <v>144</v>
      </c>
      <c r="AL962" s="35" t="s">
        <v>754</v>
      </c>
      <c r="AM962" s="35" t="s">
        <v>754</v>
      </c>
      <c r="AN962" s="35" t="s">
        <v>212</v>
      </c>
      <c r="AO962" s="35" t="s">
        <v>755</v>
      </c>
      <c r="AP962" s="35" t="s">
        <v>755</v>
      </c>
      <c r="AQ962" s="35" t="s">
        <v>212</v>
      </c>
      <c r="AR962" s="35" t="s">
        <v>147</v>
      </c>
      <c r="AS962" s="35">
        <v>4</v>
      </c>
      <c r="AT962" s="35">
        <v>4</v>
      </c>
      <c r="AU962" s="35" t="s">
        <v>379</v>
      </c>
      <c r="BD962" s="35">
        <v>2455</v>
      </c>
      <c r="BE962" s="35">
        <v>1875</v>
      </c>
      <c r="BM962" s="35">
        <f t="shared" ref="BM962:BM964" si="223">(59+14)/2</f>
        <v>36.5</v>
      </c>
      <c r="BN962" s="35">
        <f>(59+14)/2</f>
        <v>36.5</v>
      </c>
      <c r="BO962" s="35" t="s">
        <v>772</v>
      </c>
      <c r="DL962" s="35">
        <v>455</v>
      </c>
      <c r="DM962" s="35">
        <v>380</v>
      </c>
      <c r="DN962" s="35" t="s">
        <v>756</v>
      </c>
      <c r="FR962" s="35" t="s">
        <v>825</v>
      </c>
      <c r="FT962" s="35">
        <v>45</v>
      </c>
    </row>
    <row r="963" spans="1:176" s="35" customFormat="1" x14ac:dyDescent="0.25">
      <c r="A963" s="35">
        <v>45</v>
      </c>
      <c r="B963" s="35" t="s">
        <v>752</v>
      </c>
      <c r="C963" s="35" t="s">
        <v>753</v>
      </c>
      <c r="D963" s="35">
        <v>2005</v>
      </c>
      <c r="E963" s="35">
        <v>1999</v>
      </c>
      <c r="F963" s="35" t="s">
        <v>342</v>
      </c>
      <c r="G963" s="35" t="s">
        <v>613</v>
      </c>
      <c r="H963" s="35">
        <v>40.19</v>
      </c>
      <c r="I963" s="35">
        <v>-103.17</v>
      </c>
      <c r="J963" s="35">
        <v>1384</v>
      </c>
      <c r="P963" s="54">
        <v>6</v>
      </c>
      <c r="Q963" s="54"/>
      <c r="R963" s="54"/>
      <c r="S963" s="54" t="s">
        <v>1558</v>
      </c>
      <c r="T963" s="54" t="s">
        <v>1558</v>
      </c>
      <c r="U963" s="54" t="s">
        <v>1558</v>
      </c>
      <c r="V963" s="54" t="s">
        <v>1905</v>
      </c>
      <c r="Z963" s="35" t="s">
        <v>531</v>
      </c>
      <c r="AD963" s="35" t="s">
        <v>1501</v>
      </c>
      <c r="AE963" s="35" t="s">
        <v>650</v>
      </c>
      <c r="AF963" s="152" t="s">
        <v>666</v>
      </c>
      <c r="AG963" s="35" t="s">
        <v>144</v>
      </c>
      <c r="AH963" s="154" t="s">
        <v>144</v>
      </c>
      <c r="AL963" s="35" t="s">
        <v>754</v>
      </c>
      <c r="AM963" s="35" t="s">
        <v>754</v>
      </c>
      <c r="AN963" s="35" t="s">
        <v>212</v>
      </c>
      <c r="AO963" s="35" t="s">
        <v>755</v>
      </c>
      <c r="AP963" s="35" t="s">
        <v>755</v>
      </c>
      <c r="AQ963" s="35" t="s">
        <v>212</v>
      </c>
      <c r="AR963" s="35" t="s">
        <v>147</v>
      </c>
      <c r="AS963" s="35">
        <v>4</v>
      </c>
      <c r="AT963" s="35">
        <v>4</v>
      </c>
      <c r="AU963" s="35" t="s">
        <v>379</v>
      </c>
      <c r="FR963" s="35" t="s">
        <v>825</v>
      </c>
      <c r="FT963" s="35">
        <v>45</v>
      </c>
    </row>
    <row r="964" spans="1:176" s="35" customFormat="1" x14ac:dyDescent="0.25">
      <c r="A964" s="35">
        <v>45</v>
      </c>
      <c r="B964" s="35" t="s">
        <v>752</v>
      </c>
      <c r="C964" s="35" t="s">
        <v>753</v>
      </c>
      <c r="D964" s="35">
        <v>2005</v>
      </c>
      <c r="E964" s="35">
        <v>1999</v>
      </c>
      <c r="F964" s="35" t="s">
        <v>342</v>
      </c>
      <c r="G964" s="35" t="s">
        <v>613</v>
      </c>
      <c r="H964" s="35">
        <v>40.19</v>
      </c>
      <c r="I964" s="35">
        <v>-103.17</v>
      </c>
      <c r="J964" s="35">
        <v>1384</v>
      </c>
      <c r="P964" s="54">
        <v>6</v>
      </c>
      <c r="Q964" s="54"/>
      <c r="R964" s="54"/>
      <c r="S964" s="54" t="s">
        <v>1558</v>
      </c>
      <c r="T964" s="54" t="s">
        <v>1558</v>
      </c>
      <c r="U964" s="54" t="s">
        <v>1558</v>
      </c>
      <c r="V964" s="54" t="s">
        <v>1905</v>
      </c>
      <c r="Z964" s="35" t="s">
        <v>531</v>
      </c>
      <c r="AD964" s="35" t="s">
        <v>1501</v>
      </c>
      <c r="AE964" s="35" t="s">
        <v>281</v>
      </c>
      <c r="AF964" s="152" t="s">
        <v>666</v>
      </c>
      <c r="AG964" s="35" t="s">
        <v>144</v>
      </c>
      <c r="AH964" s="154" t="s">
        <v>144</v>
      </c>
      <c r="AL964" s="35" t="s">
        <v>754</v>
      </c>
      <c r="AM964" s="35" t="s">
        <v>754</v>
      </c>
      <c r="AN964" s="35" t="s">
        <v>212</v>
      </c>
      <c r="AO964" s="35" t="s">
        <v>755</v>
      </c>
      <c r="AP964" s="35" t="s">
        <v>755</v>
      </c>
      <c r="AQ964" s="35" t="s">
        <v>212</v>
      </c>
      <c r="AR964" s="35" t="s">
        <v>147</v>
      </c>
      <c r="AS964" s="35">
        <v>4</v>
      </c>
      <c r="AT964" s="35">
        <v>4</v>
      </c>
      <c r="AU964" s="35" t="s">
        <v>379</v>
      </c>
      <c r="BD964" s="35">
        <v>2455</v>
      </c>
      <c r="BE964" s="35">
        <v>1786</v>
      </c>
      <c r="BM964" s="35">
        <f t="shared" si="223"/>
        <v>36.5</v>
      </c>
      <c r="BN964" s="35">
        <f>(71+14)/2</f>
        <v>42.5</v>
      </c>
      <c r="BO964" s="35" t="s">
        <v>772</v>
      </c>
      <c r="DL964" s="35">
        <v>455</v>
      </c>
      <c r="DM964" s="35">
        <v>375</v>
      </c>
      <c r="DN964" s="35" t="s">
        <v>756</v>
      </c>
      <c r="FR964" s="35" t="s">
        <v>825</v>
      </c>
      <c r="FT964" s="35">
        <v>45</v>
      </c>
    </row>
    <row r="965" spans="1:176" s="38" customFormat="1" x14ac:dyDescent="0.25">
      <c r="A965" s="38">
        <v>46</v>
      </c>
      <c r="B965" s="38" t="s">
        <v>758</v>
      </c>
      <c r="C965" s="38" t="s">
        <v>757</v>
      </c>
      <c r="D965" s="38">
        <v>2013</v>
      </c>
      <c r="E965" s="38">
        <v>2009</v>
      </c>
      <c r="F965" s="38" t="s">
        <v>371</v>
      </c>
      <c r="G965" s="38" t="s">
        <v>759</v>
      </c>
      <c r="H965" s="38">
        <f>47+55/60</f>
        <v>47.916666666666664</v>
      </c>
      <c r="I965" s="38">
        <f>-109-55/60</f>
        <v>-109.91666666666667</v>
      </c>
      <c r="J965" s="38">
        <v>888</v>
      </c>
      <c r="P965" s="57">
        <v>1</v>
      </c>
      <c r="Q965" s="57"/>
      <c r="R965" s="57" t="s">
        <v>770</v>
      </c>
      <c r="S965" s="57" t="s">
        <v>1565</v>
      </c>
      <c r="T965" s="57" t="s">
        <v>1565</v>
      </c>
      <c r="U965" s="57" t="s">
        <v>1593</v>
      </c>
      <c r="V965" s="57" t="s">
        <v>1908</v>
      </c>
      <c r="Z965" s="38" t="s">
        <v>604</v>
      </c>
      <c r="AA965" s="38">
        <v>6.1</v>
      </c>
      <c r="AB965" s="38">
        <v>1.1000000000000001</v>
      </c>
      <c r="AD965" s="38" t="s">
        <v>1502</v>
      </c>
      <c r="AE965" s="38" t="s">
        <v>1719</v>
      </c>
      <c r="AF965" s="152" t="s">
        <v>666</v>
      </c>
      <c r="AG965" s="38" t="s">
        <v>1707</v>
      </c>
      <c r="AH965" s="155" t="s">
        <v>1800</v>
      </c>
      <c r="AI965" s="38" t="s">
        <v>1807</v>
      </c>
      <c r="AJ965" s="38" t="s">
        <v>1807</v>
      </c>
      <c r="AK965" s="38" t="s">
        <v>212</v>
      </c>
      <c r="AM965" s="38" t="s">
        <v>188</v>
      </c>
      <c r="AO965" s="38">
        <v>0</v>
      </c>
      <c r="AP965" s="38">
        <v>0</v>
      </c>
      <c r="AQ965" s="38" t="s">
        <v>212</v>
      </c>
      <c r="AR965" s="38" t="s">
        <v>147</v>
      </c>
      <c r="AS965" s="38">
        <v>6</v>
      </c>
      <c r="AT965" s="38">
        <v>6</v>
      </c>
      <c r="AU965" s="38" t="s">
        <v>169</v>
      </c>
      <c r="AW965" s="38">
        <f>1.07*1000</f>
        <v>1070</v>
      </c>
      <c r="AX965" s="38">
        <f>AW965/44.2</f>
        <v>24.20814479638009</v>
      </c>
      <c r="AY965" s="67" t="s">
        <v>765</v>
      </c>
      <c r="BD965" s="38">
        <v>4760</v>
      </c>
      <c r="BE965" s="38">
        <v>4250</v>
      </c>
      <c r="BM965" s="38">
        <f>16</f>
        <v>16</v>
      </c>
      <c r="BN965" s="38">
        <f>10.6</f>
        <v>10.6</v>
      </c>
      <c r="BO965" s="38" t="s">
        <v>773</v>
      </c>
      <c r="BP965" s="38">
        <v>23</v>
      </c>
      <c r="BQ965" s="38">
        <v>21</v>
      </c>
      <c r="BS965" s="38">
        <v>340</v>
      </c>
      <c r="BT965" s="38">
        <v>433</v>
      </c>
      <c r="DI965" s="38">
        <f>77/3</f>
        <v>25.666666666666668</v>
      </c>
      <c r="DJ965" s="38">
        <f>51/3</f>
        <v>17</v>
      </c>
      <c r="DK965" s="38" t="s">
        <v>801</v>
      </c>
      <c r="EP965" s="38">
        <v>15</v>
      </c>
      <c r="EQ965" s="38">
        <v>5</v>
      </c>
      <c r="FR965" s="38" t="s">
        <v>775</v>
      </c>
      <c r="FS965" s="38" t="s">
        <v>774</v>
      </c>
      <c r="FT965" s="38">
        <v>46</v>
      </c>
    </row>
    <row r="966" spans="1:176" s="38" customFormat="1" x14ac:dyDescent="0.25">
      <c r="A966" s="38">
        <v>46</v>
      </c>
      <c r="B966" s="38" t="s">
        <v>758</v>
      </c>
      <c r="C966" s="38" t="s">
        <v>757</v>
      </c>
      <c r="D966" s="38">
        <v>2013</v>
      </c>
      <c r="E966" s="38">
        <v>2009</v>
      </c>
      <c r="F966" s="38" t="s">
        <v>371</v>
      </c>
      <c r="G966" s="38" t="s">
        <v>760</v>
      </c>
      <c r="H966" s="38">
        <f>48+18/60</f>
        <v>48.3</v>
      </c>
      <c r="I966" s="38">
        <f>-110-6/60</f>
        <v>-110.1</v>
      </c>
      <c r="J966" s="38">
        <v>833</v>
      </c>
      <c r="P966" s="57">
        <v>1</v>
      </c>
      <c r="Q966" s="57"/>
      <c r="R966" s="57" t="s">
        <v>770</v>
      </c>
      <c r="S966" s="57" t="s">
        <v>1565</v>
      </c>
      <c r="T966" s="57" t="s">
        <v>1565</v>
      </c>
      <c r="U966" s="57" t="s">
        <v>1593</v>
      </c>
      <c r="V966" s="57" t="s">
        <v>1908</v>
      </c>
      <c r="Z966" s="38" t="s">
        <v>167</v>
      </c>
      <c r="AA966" s="38">
        <v>6.9</v>
      </c>
      <c r="AB966" s="38">
        <v>0.87</v>
      </c>
      <c r="AD966" s="38" t="s">
        <v>1502</v>
      </c>
      <c r="AE966" s="38" t="s">
        <v>1720</v>
      </c>
      <c r="AF966" s="152" t="s">
        <v>666</v>
      </c>
      <c r="AG966" s="38" t="s">
        <v>1707</v>
      </c>
      <c r="AH966" s="155" t="s">
        <v>1800</v>
      </c>
      <c r="AI966" s="38" t="s">
        <v>1807</v>
      </c>
      <c r="AJ966" s="38" t="s">
        <v>1807</v>
      </c>
      <c r="AK966" s="38" t="s">
        <v>212</v>
      </c>
      <c r="AM966" s="38" t="s">
        <v>188</v>
      </c>
      <c r="AO966" s="38">
        <v>0</v>
      </c>
      <c r="AP966" s="38">
        <v>0</v>
      </c>
      <c r="AQ966" s="38" t="s">
        <v>212</v>
      </c>
      <c r="AR966" s="38" t="s">
        <v>147</v>
      </c>
      <c r="AS966" s="38">
        <v>8</v>
      </c>
      <c r="AT966" s="38">
        <v>8</v>
      </c>
      <c r="AU966" s="38" t="s">
        <v>169</v>
      </c>
      <c r="AW966" s="38">
        <v>730</v>
      </c>
      <c r="AX966" s="38">
        <f>AW966/19.3</f>
        <v>37.823834196891191</v>
      </c>
      <c r="AY966" s="67" t="s">
        <v>766</v>
      </c>
      <c r="BD966" s="38">
        <v>4480</v>
      </c>
      <c r="BE966" s="38">
        <v>4430</v>
      </c>
      <c r="BM966" s="38">
        <f>10.1</f>
        <v>10.1</v>
      </c>
      <c r="BN966" s="38">
        <f>7.8</f>
        <v>7.8</v>
      </c>
      <c r="BO966" s="38" t="s">
        <v>773</v>
      </c>
      <c r="BP966" s="38">
        <v>19</v>
      </c>
      <c r="BQ966" s="38">
        <v>25</v>
      </c>
      <c r="BS966" s="38">
        <v>422</v>
      </c>
      <c r="BT966" s="38">
        <v>403</v>
      </c>
      <c r="DI966" s="38">
        <f>63/3</f>
        <v>21</v>
      </c>
      <c r="DJ966" s="38">
        <f>41/3</f>
        <v>13.666666666666666</v>
      </c>
      <c r="DK966" s="38" t="s">
        <v>801</v>
      </c>
      <c r="EP966" s="38">
        <v>12</v>
      </c>
      <c r="EQ966" s="38">
        <v>13</v>
      </c>
      <c r="FR966" s="38" t="s">
        <v>775</v>
      </c>
      <c r="FS966" s="38" t="s">
        <v>774</v>
      </c>
      <c r="FT966" s="38">
        <v>46</v>
      </c>
    </row>
    <row r="967" spans="1:176" s="38" customFormat="1" x14ac:dyDescent="0.25">
      <c r="A967" s="38">
        <v>46</v>
      </c>
      <c r="B967" s="38" t="s">
        <v>758</v>
      </c>
      <c r="C967" s="38" t="s">
        <v>757</v>
      </c>
      <c r="D967" s="38">
        <v>2013</v>
      </c>
      <c r="E967" s="38">
        <v>2009</v>
      </c>
      <c r="F967" s="38" t="s">
        <v>371</v>
      </c>
      <c r="G967" s="38" t="s">
        <v>761</v>
      </c>
      <c r="H967" s="38">
        <f>48+45/60</f>
        <v>48.75</v>
      </c>
      <c r="I967" s="38">
        <f>-110-52/60</f>
        <v>-110.86666666666666</v>
      </c>
      <c r="J967" s="38">
        <v>1059</v>
      </c>
      <c r="P967" s="57">
        <v>1</v>
      </c>
      <c r="Q967" s="57"/>
      <c r="R967" s="57" t="s">
        <v>770</v>
      </c>
      <c r="S967" s="57" t="s">
        <v>1565</v>
      </c>
      <c r="T967" s="57" t="s">
        <v>1565</v>
      </c>
      <c r="U967" s="57" t="s">
        <v>1593</v>
      </c>
      <c r="V967" s="57" t="s">
        <v>1908</v>
      </c>
      <c r="Z967" s="38" t="s">
        <v>764</v>
      </c>
      <c r="AA967" s="38">
        <v>7.6</v>
      </c>
      <c r="AB967" s="38">
        <v>1.28</v>
      </c>
      <c r="AD967" s="38" t="s">
        <v>1502</v>
      </c>
      <c r="AE967" s="38" t="s">
        <v>1719</v>
      </c>
      <c r="AF967" s="152" t="s">
        <v>666</v>
      </c>
      <c r="AG967" s="38" t="s">
        <v>1707</v>
      </c>
      <c r="AH967" s="155" t="s">
        <v>1800</v>
      </c>
      <c r="AI967" s="38" t="s">
        <v>1807</v>
      </c>
      <c r="AJ967" s="38" t="s">
        <v>1807</v>
      </c>
      <c r="AK967" s="38" t="s">
        <v>212</v>
      </c>
      <c r="AM967" s="38" t="s">
        <v>188</v>
      </c>
      <c r="AO967" s="38">
        <v>0</v>
      </c>
      <c r="AP967" s="38">
        <v>0</v>
      </c>
      <c r="AQ967" s="38" t="s">
        <v>212</v>
      </c>
      <c r="AR967" s="38" t="s">
        <v>147</v>
      </c>
      <c r="AS967" s="38">
        <v>12</v>
      </c>
      <c r="AT967" s="38">
        <v>12</v>
      </c>
      <c r="AU967" s="38" t="s">
        <v>169</v>
      </c>
      <c r="AW967" s="38">
        <f>1.02*1000</f>
        <v>1020</v>
      </c>
      <c r="AX967" s="38">
        <f>AW967/37.8</f>
        <v>26.984126984126988</v>
      </c>
      <c r="AY967" s="67" t="s">
        <v>767</v>
      </c>
      <c r="BD967" s="38">
        <v>4050</v>
      </c>
      <c r="BE967" s="38">
        <v>3920</v>
      </c>
      <c r="BM967" s="38">
        <f>11.2</f>
        <v>11.2</v>
      </c>
      <c r="BN967" s="38">
        <f>15.7</f>
        <v>15.7</v>
      </c>
      <c r="BO967" s="38" t="s">
        <v>773</v>
      </c>
      <c r="BP967" s="38">
        <v>16</v>
      </c>
      <c r="BQ967" s="38">
        <v>19</v>
      </c>
      <c r="BS967" s="38">
        <v>319</v>
      </c>
      <c r="BT967" s="38">
        <v>451</v>
      </c>
      <c r="DI967" s="38">
        <f>79/3</f>
        <v>26.333333333333332</v>
      </c>
      <c r="DJ967" s="38">
        <f>55/3</f>
        <v>18.333333333333332</v>
      </c>
      <c r="DK967" s="38" t="s">
        <v>801</v>
      </c>
      <c r="EP967" s="38">
        <v>5</v>
      </c>
      <c r="EQ967" s="38">
        <v>17</v>
      </c>
      <c r="FR967" s="38" t="s">
        <v>775</v>
      </c>
      <c r="FS967" s="38" t="s">
        <v>774</v>
      </c>
      <c r="FT967" s="38">
        <v>46</v>
      </c>
    </row>
    <row r="968" spans="1:176" s="38" customFormat="1" x14ac:dyDescent="0.25">
      <c r="A968" s="38">
        <v>46</v>
      </c>
      <c r="B968" s="38" t="s">
        <v>758</v>
      </c>
      <c r="C968" s="38" t="s">
        <v>757</v>
      </c>
      <c r="D968" s="38">
        <v>2013</v>
      </c>
      <c r="E968" s="38">
        <v>2009</v>
      </c>
      <c r="F968" s="38" t="s">
        <v>371</v>
      </c>
      <c r="G968" s="38" t="s">
        <v>762</v>
      </c>
      <c r="H968" s="38">
        <f>48+48/60</f>
        <v>48.8</v>
      </c>
      <c r="I968" s="38">
        <f>-111-38.5/60</f>
        <v>-111.64166666666667</v>
      </c>
      <c r="J968" s="38">
        <v>1102</v>
      </c>
      <c r="P968" s="57">
        <v>1</v>
      </c>
      <c r="Q968" s="57"/>
      <c r="R968" s="57" t="s">
        <v>770</v>
      </c>
      <c r="S968" s="57" t="s">
        <v>1565</v>
      </c>
      <c r="T968" s="57" t="s">
        <v>1565</v>
      </c>
      <c r="U968" s="57" t="s">
        <v>1593</v>
      </c>
      <c r="V968" s="57" t="s">
        <v>1908</v>
      </c>
      <c r="Z968" s="38" t="s">
        <v>167</v>
      </c>
      <c r="AA968" s="38">
        <v>6.9</v>
      </c>
      <c r="AB968" s="38">
        <v>1.22</v>
      </c>
      <c r="AD968" s="38" t="s">
        <v>1502</v>
      </c>
      <c r="AE968" s="38" t="s">
        <v>1719</v>
      </c>
      <c r="AF968" s="152" t="s">
        <v>666</v>
      </c>
      <c r="AG968" s="38" t="s">
        <v>1707</v>
      </c>
      <c r="AH968" s="155" t="s">
        <v>1800</v>
      </c>
      <c r="AI968" s="38" t="s">
        <v>1807</v>
      </c>
      <c r="AJ968" s="38" t="s">
        <v>1807</v>
      </c>
      <c r="AK968" s="38" t="s">
        <v>212</v>
      </c>
      <c r="AM968" s="38" t="s">
        <v>188</v>
      </c>
      <c r="AO968" s="38">
        <v>0</v>
      </c>
      <c r="AP968" s="38">
        <v>0</v>
      </c>
      <c r="AQ968" s="38" t="s">
        <v>212</v>
      </c>
      <c r="AR968" s="38" t="s">
        <v>147</v>
      </c>
      <c r="AS968" s="38">
        <v>8</v>
      </c>
      <c r="AT968" s="38">
        <v>8</v>
      </c>
      <c r="AU968" s="38" t="s">
        <v>169</v>
      </c>
      <c r="AW968" s="38">
        <v>1090</v>
      </c>
      <c r="AX968" s="38">
        <f>AW968/28.4</f>
        <v>38.380281690140848</v>
      </c>
      <c r="AY968" s="67" t="s">
        <v>768</v>
      </c>
      <c r="BD968" s="38">
        <v>4830</v>
      </c>
      <c r="BE968" s="38">
        <v>4360</v>
      </c>
      <c r="BM968" s="38">
        <f>37</f>
        <v>37</v>
      </c>
      <c r="BN968" s="38">
        <f>16.8</f>
        <v>16.8</v>
      </c>
      <c r="BO968" s="38" t="s">
        <v>773</v>
      </c>
      <c r="BP968" s="38">
        <v>12</v>
      </c>
      <c r="BQ968" s="38">
        <v>11</v>
      </c>
      <c r="BS968" s="38">
        <v>599</v>
      </c>
      <c r="BT968" s="38">
        <v>519</v>
      </c>
      <c r="DI968" s="38">
        <f>76/3</f>
        <v>25.333333333333332</v>
      </c>
      <c r="DJ968" s="38">
        <f>47/3</f>
        <v>15.666666666666666</v>
      </c>
      <c r="DK968" s="38" t="s">
        <v>801</v>
      </c>
      <c r="EP968" s="38">
        <v>12</v>
      </c>
      <c r="EQ968" s="38">
        <v>46</v>
      </c>
      <c r="FR968" s="38" t="s">
        <v>775</v>
      </c>
      <c r="FS968" s="38" t="s">
        <v>774</v>
      </c>
      <c r="FT968" s="38">
        <v>46</v>
      </c>
    </row>
    <row r="969" spans="1:176" s="38" customFormat="1" x14ac:dyDescent="0.25">
      <c r="A969" s="38">
        <v>46</v>
      </c>
      <c r="B969" s="38" t="s">
        <v>758</v>
      </c>
      <c r="C969" s="38" t="s">
        <v>757</v>
      </c>
      <c r="D969" s="38">
        <v>2013</v>
      </c>
      <c r="E969" s="38">
        <v>2009</v>
      </c>
      <c r="F969" s="38" t="s">
        <v>371</v>
      </c>
      <c r="G969" s="38" t="s">
        <v>763</v>
      </c>
      <c r="H969" s="38">
        <f>48+48/60</f>
        <v>48.8</v>
      </c>
      <c r="I969" s="38">
        <f>-111-31/60</f>
        <v>-111.51666666666667</v>
      </c>
      <c r="J969" s="38">
        <v>1090</v>
      </c>
      <c r="P969" s="57">
        <v>1</v>
      </c>
      <c r="Q969" s="57"/>
      <c r="R969" s="57" t="s">
        <v>770</v>
      </c>
      <c r="S969" s="57" t="s">
        <v>1565</v>
      </c>
      <c r="T969" s="57" t="s">
        <v>1565</v>
      </c>
      <c r="U969" s="57" t="s">
        <v>1593</v>
      </c>
      <c r="V969" s="57" t="s">
        <v>1908</v>
      </c>
      <c r="Z969" s="38" t="s">
        <v>604</v>
      </c>
      <c r="AA969" s="38">
        <v>7.8</v>
      </c>
      <c r="AB969" s="38">
        <v>1.1000000000000001</v>
      </c>
      <c r="AD969" s="38" t="s">
        <v>1502</v>
      </c>
      <c r="AE969" s="38" t="s">
        <v>650</v>
      </c>
      <c r="AF969" s="152" t="s">
        <v>666</v>
      </c>
      <c r="AG969" s="38" t="s">
        <v>1707</v>
      </c>
      <c r="AH969" s="155" t="s">
        <v>1800</v>
      </c>
      <c r="AI969" s="38" t="s">
        <v>1807</v>
      </c>
      <c r="AJ969" s="38" t="s">
        <v>1807</v>
      </c>
      <c r="AK969" s="38" t="s">
        <v>212</v>
      </c>
      <c r="AM969" s="38" t="s">
        <v>188</v>
      </c>
      <c r="AO969" s="38">
        <v>0</v>
      </c>
      <c r="AP969" s="38">
        <v>0</v>
      </c>
      <c r="AQ969" s="38" t="s">
        <v>212</v>
      </c>
      <c r="AR969" s="38" t="s">
        <v>147</v>
      </c>
      <c r="AS969" s="38">
        <v>8</v>
      </c>
      <c r="AT969" s="38">
        <v>8</v>
      </c>
      <c r="AU969" s="38" t="s">
        <v>169</v>
      </c>
      <c r="AW969" s="38">
        <v>550</v>
      </c>
      <c r="AX969" s="38">
        <f>AW969/14.5</f>
        <v>37.931034482758619</v>
      </c>
      <c r="AY969" s="67" t="s">
        <v>769</v>
      </c>
      <c r="BD969" s="38">
        <v>1690</v>
      </c>
      <c r="BE969" s="38">
        <v>1510</v>
      </c>
      <c r="BM969" s="38">
        <f>12.3</f>
        <v>12.3</v>
      </c>
      <c r="BN969" s="38">
        <f>11.2</f>
        <v>11.2</v>
      </c>
      <c r="BO969" s="38" t="s">
        <v>773</v>
      </c>
      <c r="BP969" s="38">
        <v>9</v>
      </c>
      <c r="BQ969" s="38">
        <v>8</v>
      </c>
      <c r="BS969" s="38">
        <v>355</v>
      </c>
      <c r="BT969" s="38">
        <v>507</v>
      </c>
      <c r="DI969" s="38">
        <f>75/3</f>
        <v>25</v>
      </c>
      <c r="DJ969" s="38">
        <f>52/3</f>
        <v>17.333333333333332</v>
      </c>
      <c r="DK969" s="38" t="s">
        <v>801</v>
      </c>
      <c r="EP969" s="38">
        <v>7</v>
      </c>
      <c r="EQ969" s="38">
        <v>23</v>
      </c>
      <c r="FR969" s="38" t="s">
        <v>775</v>
      </c>
      <c r="FS969" s="38" t="s">
        <v>774</v>
      </c>
      <c r="FT969" s="38">
        <v>46</v>
      </c>
    </row>
    <row r="970" spans="1:176" s="31" customFormat="1" x14ac:dyDescent="0.25">
      <c r="A970" s="31">
        <v>46</v>
      </c>
      <c r="B970" s="31" t="s">
        <v>758</v>
      </c>
      <c r="C970" s="31" t="s">
        <v>757</v>
      </c>
      <c r="D970" s="31">
        <v>2013</v>
      </c>
      <c r="E970" s="31">
        <v>2009</v>
      </c>
      <c r="F970" s="31" t="s">
        <v>371</v>
      </c>
      <c r="G970" s="31" t="s">
        <v>759</v>
      </c>
      <c r="H970" s="31">
        <f>47+55/60</f>
        <v>47.916666666666664</v>
      </c>
      <c r="I970" s="31">
        <f>-109-55/60</f>
        <v>-109.91666666666667</v>
      </c>
      <c r="J970" s="31">
        <v>888</v>
      </c>
      <c r="P970" s="56">
        <v>1</v>
      </c>
      <c r="Q970" s="56"/>
      <c r="R970" s="56" t="s">
        <v>770</v>
      </c>
      <c r="S970" s="56" t="s">
        <v>1578</v>
      </c>
      <c r="T970" s="56" t="s">
        <v>1565</v>
      </c>
      <c r="U970" s="56" t="s">
        <v>1593</v>
      </c>
      <c r="V970" s="56" t="s">
        <v>1908</v>
      </c>
      <c r="Z970" s="31" t="s">
        <v>604</v>
      </c>
      <c r="AA970" s="31">
        <v>6.1</v>
      </c>
      <c r="AB970" s="31">
        <v>1.1000000000000001</v>
      </c>
      <c r="AD970" s="31" t="s">
        <v>1502</v>
      </c>
      <c r="AE970" s="31" t="s">
        <v>1719</v>
      </c>
      <c r="AF970" s="152" t="s">
        <v>666</v>
      </c>
      <c r="AG970" s="31" t="s">
        <v>1707</v>
      </c>
      <c r="AH970" s="155" t="s">
        <v>1800</v>
      </c>
      <c r="AI970" s="31" t="s">
        <v>1807</v>
      </c>
      <c r="AJ970" s="31" t="s">
        <v>1807</v>
      </c>
      <c r="AK970" s="31" t="s">
        <v>212</v>
      </c>
      <c r="AM970" s="31" t="s">
        <v>188</v>
      </c>
      <c r="AO970" s="31">
        <v>0</v>
      </c>
      <c r="AP970" s="31">
        <v>0</v>
      </c>
      <c r="AQ970" s="31" t="s">
        <v>212</v>
      </c>
      <c r="AR970" s="31" t="s">
        <v>147</v>
      </c>
      <c r="AS970" s="31">
        <v>6</v>
      </c>
      <c r="AT970" s="31">
        <v>6</v>
      </c>
      <c r="AU970" s="31" t="s">
        <v>169</v>
      </c>
      <c r="AW970" s="31">
        <f>1.07*1000</f>
        <v>1070</v>
      </c>
      <c r="AX970" s="31">
        <f>AW970/44.2</f>
        <v>24.20814479638009</v>
      </c>
      <c r="AY970" s="68" t="s">
        <v>765</v>
      </c>
      <c r="BM970" s="31">
        <f>10</f>
        <v>10</v>
      </c>
      <c r="BN970" s="31">
        <f>3</f>
        <v>3</v>
      </c>
      <c r="BO970" s="31" t="s">
        <v>773</v>
      </c>
      <c r="DI970" s="31">
        <f>65/3</f>
        <v>21.666666666666668</v>
      </c>
      <c r="DJ970" s="31">
        <f>54/3</f>
        <v>18</v>
      </c>
      <c r="DK970" s="31" t="s">
        <v>801</v>
      </c>
      <c r="FR970" s="31" t="s">
        <v>775</v>
      </c>
      <c r="FS970" s="31" t="s">
        <v>774</v>
      </c>
      <c r="FT970" s="31">
        <v>46</v>
      </c>
    </row>
    <row r="971" spans="1:176" s="31" customFormat="1" x14ac:dyDescent="0.25">
      <c r="A971" s="31">
        <v>46</v>
      </c>
      <c r="B971" s="31" t="s">
        <v>758</v>
      </c>
      <c r="C971" s="31" t="s">
        <v>757</v>
      </c>
      <c r="D971" s="31">
        <v>2013</v>
      </c>
      <c r="E971" s="31">
        <v>2009</v>
      </c>
      <c r="F971" s="31" t="s">
        <v>371</v>
      </c>
      <c r="G971" s="31" t="s">
        <v>760</v>
      </c>
      <c r="H971" s="31">
        <f>48+18/60</f>
        <v>48.3</v>
      </c>
      <c r="I971" s="31">
        <f>-110-6/60</f>
        <v>-110.1</v>
      </c>
      <c r="J971" s="31">
        <v>833</v>
      </c>
      <c r="P971" s="56">
        <v>1</v>
      </c>
      <c r="Q971" s="56"/>
      <c r="R971" s="56" t="s">
        <v>770</v>
      </c>
      <c r="S971" s="56" t="s">
        <v>1578</v>
      </c>
      <c r="T971" s="56" t="s">
        <v>1565</v>
      </c>
      <c r="U971" s="56" t="s">
        <v>1593</v>
      </c>
      <c r="V971" s="56" t="s">
        <v>1908</v>
      </c>
      <c r="Z971" s="31" t="s">
        <v>167</v>
      </c>
      <c r="AA971" s="31">
        <v>6.9</v>
      </c>
      <c r="AB971" s="31">
        <v>0.87</v>
      </c>
      <c r="AD971" s="31" t="s">
        <v>1502</v>
      </c>
      <c r="AE971" s="31" t="s">
        <v>1720</v>
      </c>
      <c r="AF971" s="152" t="s">
        <v>666</v>
      </c>
      <c r="AG971" s="31" t="s">
        <v>1707</v>
      </c>
      <c r="AH971" s="155" t="s">
        <v>1800</v>
      </c>
      <c r="AI971" s="31" t="s">
        <v>1807</v>
      </c>
      <c r="AJ971" s="31" t="s">
        <v>1807</v>
      </c>
      <c r="AK971" s="31" t="s">
        <v>212</v>
      </c>
      <c r="AM971" s="31" t="s">
        <v>188</v>
      </c>
      <c r="AO971" s="31">
        <v>0</v>
      </c>
      <c r="AP971" s="31">
        <v>0</v>
      </c>
      <c r="AQ971" s="31" t="s">
        <v>212</v>
      </c>
      <c r="AR971" s="31" t="s">
        <v>147</v>
      </c>
      <c r="AS971" s="31">
        <v>8</v>
      </c>
      <c r="AT971" s="31">
        <v>8</v>
      </c>
      <c r="AU971" s="31" t="s">
        <v>169</v>
      </c>
      <c r="AW971" s="31">
        <v>730</v>
      </c>
      <c r="AX971" s="31">
        <f>AW971/19.3</f>
        <v>37.823834196891191</v>
      </c>
      <c r="AY971" s="68" t="s">
        <v>766</v>
      </c>
      <c r="BM971" s="31">
        <f>4</f>
        <v>4</v>
      </c>
      <c r="BN971" s="31">
        <f>3</f>
        <v>3</v>
      </c>
      <c r="BO971" s="31" t="s">
        <v>773</v>
      </c>
      <c r="DI971" s="31">
        <f>48/3</f>
        <v>16</v>
      </c>
      <c r="DJ971" s="31">
        <f>41/3</f>
        <v>13.666666666666666</v>
      </c>
      <c r="DK971" s="31" t="s">
        <v>801</v>
      </c>
      <c r="FR971" s="31" t="s">
        <v>775</v>
      </c>
      <c r="FS971" s="31" t="s">
        <v>774</v>
      </c>
      <c r="FT971" s="31">
        <v>46</v>
      </c>
    </row>
    <row r="972" spans="1:176" s="31" customFormat="1" x14ac:dyDescent="0.25">
      <c r="A972" s="31">
        <v>46</v>
      </c>
      <c r="B972" s="31" t="s">
        <v>758</v>
      </c>
      <c r="C972" s="31" t="s">
        <v>757</v>
      </c>
      <c r="D972" s="31">
        <v>2013</v>
      </c>
      <c r="E972" s="31">
        <v>2009</v>
      </c>
      <c r="F972" s="31" t="s">
        <v>371</v>
      </c>
      <c r="G972" s="31" t="s">
        <v>761</v>
      </c>
      <c r="H972" s="31">
        <f>48+45/60</f>
        <v>48.75</v>
      </c>
      <c r="I972" s="31">
        <f>-110-52/60</f>
        <v>-110.86666666666666</v>
      </c>
      <c r="J972" s="31">
        <v>1059</v>
      </c>
      <c r="P972" s="56">
        <v>1</v>
      </c>
      <c r="Q972" s="56"/>
      <c r="R972" s="56" t="s">
        <v>770</v>
      </c>
      <c r="S972" s="56" t="s">
        <v>1578</v>
      </c>
      <c r="T972" s="56" t="s">
        <v>1565</v>
      </c>
      <c r="U972" s="56" t="s">
        <v>1593</v>
      </c>
      <c r="V972" s="56" t="s">
        <v>1908</v>
      </c>
      <c r="Z972" s="31" t="s">
        <v>764</v>
      </c>
      <c r="AA972" s="31">
        <v>7.6</v>
      </c>
      <c r="AB972" s="31">
        <v>1.28</v>
      </c>
      <c r="AD972" s="31" t="s">
        <v>1502</v>
      </c>
      <c r="AE972" s="31" t="s">
        <v>1719</v>
      </c>
      <c r="AF972" s="152" t="s">
        <v>666</v>
      </c>
      <c r="AG972" s="31" t="s">
        <v>1707</v>
      </c>
      <c r="AH972" s="155" t="s">
        <v>1800</v>
      </c>
      <c r="AI972" s="31" t="s">
        <v>1807</v>
      </c>
      <c r="AJ972" s="31" t="s">
        <v>1807</v>
      </c>
      <c r="AK972" s="31" t="s">
        <v>212</v>
      </c>
      <c r="AM972" s="31" t="s">
        <v>188</v>
      </c>
      <c r="AO972" s="31">
        <v>0</v>
      </c>
      <c r="AP972" s="31">
        <v>0</v>
      </c>
      <c r="AQ972" s="31" t="s">
        <v>212</v>
      </c>
      <c r="AR972" s="31" t="s">
        <v>147</v>
      </c>
      <c r="AS972" s="31">
        <v>12</v>
      </c>
      <c r="AT972" s="31">
        <v>12</v>
      </c>
      <c r="AU972" s="31" t="s">
        <v>169</v>
      </c>
      <c r="AW972" s="31">
        <f>1.02*1000</f>
        <v>1020</v>
      </c>
      <c r="AX972" s="31">
        <f>AW972/37.8</f>
        <v>26.984126984126988</v>
      </c>
      <c r="AY972" s="68" t="s">
        <v>767</v>
      </c>
      <c r="BM972" s="31">
        <f>20</f>
        <v>20</v>
      </c>
      <c r="BN972" s="31">
        <f>5</f>
        <v>5</v>
      </c>
      <c r="BO972" s="31" t="s">
        <v>773</v>
      </c>
      <c r="DI972" s="31">
        <f>77/3</f>
        <v>25.666666666666668</v>
      </c>
      <c r="DJ972" s="31">
        <f>68/3</f>
        <v>22.666666666666668</v>
      </c>
      <c r="DK972" s="31" t="s">
        <v>801</v>
      </c>
      <c r="FR972" s="31" t="s">
        <v>775</v>
      </c>
      <c r="FS972" s="31" t="s">
        <v>774</v>
      </c>
      <c r="FT972" s="31">
        <v>46</v>
      </c>
    </row>
    <row r="973" spans="1:176" s="31" customFormat="1" x14ac:dyDescent="0.25">
      <c r="A973" s="31">
        <v>46</v>
      </c>
      <c r="B973" s="31" t="s">
        <v>758</v>
      </c>
      <c r="C973" s="31" t="s">
        <v>757</v>
      </c>
      <c r="D973" s="31">
        <v>2013</v>
      </c>
      <c r="E973" s="31">
        <v>2009</v>
      </c>
      <c r="F973" s="31" t="s">
        <v>371</v>
      </c>
      <c r="G973" s="31" t="s">
        <v>762</v>
      </c>
      <c r="H973" s="31">
        <f>48+48/60</f>
        <v>48.8</v>
      </c>
      <c r="I973" s="31">
        <f>-111-38.5/60</f>
        <v>-111.64166666666667</v>
      </c>
      <c r="J973" s="31">
        <v>1102</v>
      </c>
      <c r="P973" s="56">
        <v>1</v>
      </c>
      <c r="Q973" s="56"/>
      <c r="R973" s="56" t="s">
        <v>770</v>
      </c>
      <c r="S973" s="56" t="s">
        <v>1578</v>
      </c>
      <c r="T973" s="56" t="s">
        <v>1565</v>
      </c>
      <c r="U973" s="56" t="s">
        <v>1593</v>
      </c>
      <c r="V973" s="56" t="s">
        <v>1908</v>
      </c>
      <c r="Z973" s="31" t="s">
        <v>167</v>
      </c>
      <c r="AA973" s="31">
        <v>6.9</v>
      </c>
      <c r="AB973" s="31">
        <v>1.22</v>
      </c>
      <c r="AD973" s="31" t="s">
        <v>1502</v>
      </c>
      <c r="AE973" s="31" t="s">
        <v>1719</v>
      </c>
      <c r="AF973" s="152" t="s">
        <v>666</v>
      </c>
      <c r="AG973" s="31" t="s">
        <v>1707</v>
      </c>
      <c r="AH973" s="155" t="s">
        <v>1800</v>
      </c>
      <c r="AI973" s="31" t="s">
        <v>1807</v>
      </c>
      <c r="AJ973" s="31" t="s">
        <v>1807</v>
      </c>
      <c r="AK973" s="31" t="s">
        <v>212</v>
      </c>
      <c r="AM973" s="31" t="s">
        <v>188</v>
      </c>
      <c r="AO973" s="31">
        <v>0</v>
      </c>
      <c r="AP973" s="31">
        <v>0</v>
      </c>
      <c r="AQ973" s="31" t="s">
        <v>212</v>
      </c>
      <c r="AR973" s="31" t="s">
        <v>147</v>
      </c>
      <c r="AS973" s="31">
        <v>8</v>
      </c>
      <c r="AT973" s="31">
        <v>8</v>
      </c>
      <c r="AU973" s="31" t="s">
        <v>169</v>
      </c>
      <c r="AW973" s="31">
        <v>1090</v>
      </c>
      <c r="AX973" s="31">
        <f>AW973/28.4</f>
        <v>38.380281690140848</v>
      </c>
      <c r="AY973" s="68" t="s">
        <v>768</v>
      </c>
      <c r="BM973" s="31">
        <f>17</f>
        <v>17</v>
      </c>
      <c r="BN973" s="31">
        <f>8</f>
        <v>8</v>
      </c>
      <c r="BO973" s="31" t="s">
        <v>773</v>
      </c>
      <c r="DI973" s="31">
        <f>52/3</f>
        <v>17.333333333333332</v>
      </c>
      <c r="DJ973" s="31">
        <f>37/3</f>
        <v>12.333333333333334</v>
      </c>
      <c r="DK973" s="31" t="s">
        <v>801</v>
      </c>
      <c r="FR973" s="31" t="s">
        <v>775</v>
      </c>
      <c r="FS973" s="31" t="s">
        <v>774</v>
      </c>
      <c r="FT973" s="31">
        <v>46</v>
      </c>
    </row>
    <row r="974" spans="1:176" s="31" customFormat="1" x14ac:dyDescent="0.25">
      <c r="A974" s="31">
        <v>46</v>
      </c>
      <c r="B974" s="31" t="s">
        <v>758</v>
      </c>
      <c r="C974" s="31" t="s">
        <v>757</v>
      </c>
      <c r="D974" s="31">
        <v>2013</v>
      </c>
      <c r="E974" s="31">
        <v>2009</v>
      </c>
      <c r="F974" s="31" t="s">
        <v>371</v>
      </c>
      <c r="G974" s="31" t="s">
        <v>763</v>
      </c>
      <c r="H974" s="31">
        <f>48+48/60</f>
        <v>48.8</v>
      </c>
      <c r="I974" s="31">
        <f>-111-31/60</f>
        <v>-111.51666666666667</v>
      </c>
      <c r="J974" s="31">
        <v>1090</v>
      </c>
      <c r="P974" s="56">
        <v>1</v>
      </c>
      <c r="Q974" s="56"/>
      <c r="R974" s="56" t="s">
        <v>770</v>
      </c>
      <c r="S974" s="56" t="s">
        <v>1578</v>
      </c>
      <c r="T974" s="56" t="s">
        <v>1565</v>
      </c>
      <c r="U974" s="56" t="s">
        <v>1593</v>
      </c>
      <c r="V974" s="56" t="s">
        <v>1908</v>
      </c>
      <c r="Z974" s="31" t="s">
        <v>604</v>
      </c>
      <c r="AA974" s="31">
        <v>7.8</v>
      </c>
      <c r="AB974" s="31">
        <v>1.1000000000000001</v>
      </c>
      <c r="AD974" s="31" t="s">
        <v>1502</v>
      </c>
      <c r="AE974" s="31" t="s">
        <v>650</v>
      </c>
      <c r="AF974" s="152" t="s">
        <v>666</v>
      </c>
      <c r="AG974" s="31" t="s">
        <v>1707</v>
      </c>
      <c r="AH974" s="155" t="s">
        <v>1800</v>
      </c>
      <c r="AI974" s="31" t="s">
        <v>1807</v>
      </c>
      <c r="AJ974" s="31" t="s">
        <v>1807</v>
      </c>
      <c r="AK974" s="31" t="s">
        <v>212</v>
      </c>
      <c r="AM974" s="31" t="s">
        <v>188</v>
      </c>
      <c r="AO974" s="31">
        <v>0</v>
      </c>
      <c r="AP974" s="31">
        <v>0</v>
      </c>
      <c r="AQ974" s="31" t="s">
        <v>212</v>
      </c>
      <c r="AR974" s="31" t="s">
        <v>147</v>
      </c>
      <c r="AS974" s="31">
        <v>8</v>
      </c>
      <c r="AT974" s="31">
        <v>8</v>
      </c>
      <c r="AU974" s="31" t="s">
        <v>169</v>
      </c>
      <c r="AW974" s="31">
        <v>550</v>
      </c>
      <c r="AX974" s="31">
        <f>AW974/14.5</f>
        <v>37.931034482758619</v>
      </c>
      <c r="AY974" s="68" t="s">
        <v>769</v>
      </c>
      <c r="BM974" s="31">
        <f>2</f>
        <v>2</v>
      </c>
      <c r="BN974" s="31">
        <v>1</v>
      </c>
      <c r="BO974" s="31" t="s">
        <v>773</v>
      </c>
      <c r="DI974" s="31">
        <f>64/3</f>
        <v>21.333333333333332</v>
      </c>
      <c r="DJ974" s="31">
        <f>41/3</f>
        <v>13.666666666666666</v>
      </c>
      <c r="DK974" s="31" t="s">
        <v>801</v>
      </c>
      <c r="FR974" s="31" t="s">
        <v>775</v>
      </c>
      <c r="FS974" s="31" t="s">
        <v>774</v>
      </c>
      <c r="FT974" s="31">
        <v>46</v>
      </c>
    </row>
    <row r="975" spans="1:176" s="38" customFormat="1" x14ac:dyDescent="0.25">
      <c r="A975" s="38">
        <v>46</v>
      </c>
      <c r="B975" s="38" t="s">
        <v>758</v>
      </c>
      <c r="C975" s="38" t="s">
        <v>757</v>
      </c>
      <c r="D975" s="38">
        <v>2013</v>
      </c>
      <c r="E975" s="38">
        <v>2009</v>
      </c>
      <c r="F975" s="38" t="s">
        <v>371</v>
      </c>
      <c r="G975" s="38" t="s">
        <v>759</v>
      </c>
      <c r="H975" s="38">
        <f>47+55/60</f>
        <v>47.916666666666664</v>
      </c>
      <c r="I975" s="38">
        <f>-109-55/60</f>
        <v>-109.91666666666667</v>
      </c>
      <c r="J975" s="38">
        <v>888</v>
      </c>
      <c r="P975" s="57">
        <v>1</v>
      </c>
      <c r="Q975" s="57"/>
      <c r="R975" s="57" t="s">
        <v>770</v>
      </c>
      <c r="S975" s="57" t="s">
        <v>1579</v>
      </c>
      <c r="T975" s="57" t="s">
        <v>1565</v>
      </c>
      <c r="U975" s="57" t="s">
        <v>1593</v>
      </c>
      <c r="V975" s="57" t="s">
        <v>1908</v>
      </c>
      <c r="Z975" s="38" t="s">
        <v>604</v>
      </c>
      <c r="AA975" s="38">
        <v>6.1</v>
      </c>
      <c r="AB975" s="38">
        <v>1.1000000000000001</v>
      </c>
      <c r="AD975" s="38" t="s">
        <v>1502</v>
      </c>
      <c r="AE975" s="38" t="s">
        <v>1719</v>
      </c>
      <c r="AF975" s="152" t="s">
        <v>666</v>
      </c>
      <c r="AG975" s="38" t="s">
        <v>1707</v>
      </c>
      <c r="AH975" s="155" t="s">
        <v>1800</v>
      </c>
      <c r="AI975" s="38" t="s">
        <v>1807</v>
      </c>
      <c r="AJ975" s="38" t="s">
        <v>1807</v>
      </c>
      <c r="AK975" s="38" t="s">
        <v>212</v>
      </c>
      <c r="AM975" s="38" t="s">
        <v>188</v>
      </c>
      <c r="AO975" s="38">
        <v>0</v>
      </c>
      <c r="AP975" s="38">
        <v>0</v>
      </c>
      <c r="AQ975" s="38" t="s">
        <v>212</v>
      </c>
      <c r="AR975" s="38" t="s">
        <v>147</v>
      </c>
      <c r="AS975" s="38">
        <v>6</v>
      </c>
      <c r="AT975" s="38">
        <v>6</v>
      </c>
      <c r="AU975" s="38" t="s">
        <v>169</v>
      </c>
      <c r="AW975" s="38">
        <f>1.07*1000</f>
        <v>1070</v>
      </c>
      <c r="AX975" s="38">
        <f>AW975/44.2</f>
        <v>24.20814479638009</v>
      </c>
      <c r="AY975" s="67" t="s">
        <v>765</v>
      </c>
      <c r="BM975" s="38">
        <v>9</v>
      </c>
      <c r="BN975" s="38">
        <v>4</v>
      </c>
      <c r="BO975" s="38" t="s">
        <v>773</v>
      </c>
      <c r="DI975" s="38">
        <f>54/3</f>
        <v>18</v>
      </c>
      <c r="DJ975" s="38">
        <f>53/3</f>
        <v>17.666666666666668</v>
      </c>
      <c r="DK975" s="38" t="s">
        <v>801</v>
      </c>
      <c r="FR975" s="38" t="s">
        <v>775</v>
      </c>
      <c r="FS975" s="38" t="s">
        <v>774</v>
      </c>
      <c r="FT975" s="38">
        <v>46</v>
      </c>
    </row>
    <row r="976" spans="1:176" s="38" customFormat="1" x14ac:dyDescent="0.25">
      <c r="A976" s="38">
        <v>46</v>
      </c>
      <c r="B976" s="38" t="s">
        <v>758</v>
      </c>
      <c r="C976" s="38" t="s">
        <v>757</v>
      </c>
      <c r="D976" s="38">
        <v>2013</v>
      </c>
      <c r="E976" s="38">
        <v>2009</v>
      </c>
      <c r="F976" s="38" t="s">
        <v>371</v>
      </c>
      <c r="G976" s="38" t="s">
        <v>760</v>
      </c>
      <c r="H976" s="38">
        <f>48+18/60</f>
        <v>48.3</v>
      </c>
      <c r="I976" s="38">
        <f>-110-6/60</f>
        <v>-110.1</v>
      </c>
      <c r="J976" s="38">
        <v>833</v>
      </c>
      <c r="P976" s="57">
        <v>1</v>
      </c>
      <c r="Q976" s="57"/>
      <c r="R976" s="57" t="s">
        <v>770</v>
      </c>
      <c r="S976" s="57" t="s">
        <v>1579</v>
      </c>
      <c r="T976" s="57" t="s">
        <v>1565</v>
      </c>
      <c r="U976" s="57" t="s">
        <v>1593</v>
      </c>
      <c r="V976" s="57" t="s">
        <v>1908</v>
      </c>
      <c r="Z976" s="38" t="s">
        <v>167</v>
      </c>
      <c r="AA976" s="38">
        <v>6.9</v>
      </c>
      <c r="AB976" s="38">
        <v>0.87</v>
      </c>
      <c r="AD976" s="38" t="s">
        <v>1502</v>
      </c>
      <c r="AE976" s="38" t="s">
        <v>1720</v>
      </c>
      <c r="AF976" s="152" t="s">
        <v>666</v>
      </c>
      <c r="AG976" s="38" t="s">
        <v>1707</v>
      </c>
      <c r="AH976" s="155" t="s">
        <v>1800</v>
      </c>
      <c r="AI976" s="38" t="s">
        <v>1807</v>
      </c>
      <c r="AJ976" s="38" t="s">
        <v>1807</v>
      </c>
      <c r="AK976" s="38" t="s">
        <v>212</v>
      </c>
      <c r="AM976" s="38" t="s">
        <v>188</v>
      </c>
      <c r="AO976" s="38">
        <v>0</v>
      </c>
      <c r="AP976" s="38">
        <v>0</v>
      </c>
      <c r="AQ976" s="38" t="s">
        <v>212</v>
      </c>
      <c r="AR976" s="38" t="s">
        <v>147</v>
      </c>
      <c r="AS976" s="38">
        <v>8</v>
      </c>
      <c r="AT976" s="38">
        <v>8</v>
      </c>
      <c r="AU976" s="38" t="s">
        <v>169</v>
      </c>
      <c r="AW976" s="38">
        <v>730</v>
      </c>
      <c r="AX976" s="38">
        <f>AW976/19.3</f>
        <v>37.823834196891191</v>
      </c>
      <c r="AY976" s="67" t="s">
        <v>766</v>
      </c>
      <c r="BM976" s="38">
        <v>14</v>
      </c>
      <c r="BN976" s="38">
        <v>13</v>
      </c>
      <c r="BO976" s="38" t="s">
        <v>773</v>
      </c>
      <c r="DI976" s="38">
        <f>44/3</f>
        <v>14.666666666666666</v>
      </c>
      <c r="DJ976" s="38">
        <f>40/3</f>
        <v>13.333333333333334</v>
      </c>
      <c r="DK976" s="38" t="s">
        <v>801</v>
      </c>
      <c r="FR976" s="38" t="s">
        <v>775</v>
      </c>
      <c r="FS976" s="38" t="s">
        <v>774</v>
      </c>
      <c r="FT976" s="38">
        <v>46</v>
      </c>
    </row>
    <row r="977" spans="1:176" s="38" customFormat="1" x14ac:dyDescent="0.25">
      <c r="A977" s="38">
        <v>46</v>
      </c>
      <c r="B977" s="38" t="s">
        <v>758</v>
      </c>
      <c r="C977" s="38" t="s">
        <v>757</v>
      </c>
      <c r="D977" s="38">
        <v>2013</v>
      </c>
      <c r="E977" s="38">
        <v>2009</v>
      </c>
      <c r="F977" s="38" t="s">
        <v>371</v>
      </c>
      <c r="G977" s="38" t="s">
        <v>761</v>
      </c>
      <c r="H977" s="38">
        <f>48+45/60</f>
        <v>48.75</v>
      </c>
      <c r="I977" s="38">
        <f>-110-52/60</f>
        <v>-110.86666666666666</v>
      </c>
      <c r="J977" s="38">
        <v>1059</v>
      </c>
      <c r="P977" s="57">
        <v>1</v>
      </c>
      <c r="Q977" s="57"/>
      <c r="R977" s="57" t="s">
        <v>770</v>
      </c>
      <c r="S977" s="57" t="s">
        <v>1579</v>
      </c>
      <c r="T977" s="57" t="s">
        <v>1565</v>
      </c>
      <c r="U977" s="57" t="s">
        <v>1593</v>
      </c>
      <c r="V977" s="57" t="s">
        <v>1908</v>
      </c>
      <c r="Z977" s="38" t="s">
        <v>764</v>
      </c>
      <c r="AA977" s="38">
        <v>7.6</v>
      </c>
      <c r="AB977" s="38">
        <v>1.28</v>
      </c>
      <c r="AD977" s="38" t="s">
        <v>1502</v>
      </c>
      <c r="AE977" s="38" t="s">
        <v>1719</v>
      </c>
      <c r="AF977" s="152" t="s">
        <v>666</v>
      </c>
      <c r="AG977" s="38" t="s">
        <v>1707</v>
      </c>
      <c r="AH977" s="155" t="s">
        <v>1800</v>
      </c>
      <c r="AI977" s="38" t="s">
        <v>1807</v>
      </c>
      <c r="AJ977" s="38" t="s">
        <v>1807</v>
      </c>
      <c r="AK977" s="38" t="s">
        <v>212</v>
      </c>
      <c r="AM977" s="38" t="s">
        <v>188</v>
      </c>
      <c r="AO977" s="38">
        <v>0</v>
      </c>
      <c r="AP977" s="38">
        <v>0</v>
      </c>
      <c r="AQ977" s="38" t="s">
        <v>212</v>
      </c>
      <c r="AR977" s="38" t="s">
        <v>147</v>
      </c>
      <c r="AS977" s="38">
        <v>12</v>
      </c>
      <c r="AT977" s="38">
        <v>12</v>
      </c>
      <c r="AU977" s="38" t="s">
        <v>169</v>
      </c>
      <c r="AW977" s="38">
        <f>1.02*1000</f>
        <v>1020</v>
      </c>
      <c r="AX977" s="38">
        <f>AW977/37.8</f>
        <v>26.984126984126988</v>
      </c>
      <c r="AY977" s="67" t="s">
        <v>767</v>
      </c>
      <c r="BM977" s="38">
        <v>39</v>
      </c>
      <c r="BN977" s="38">
        <v>24</v>
      </c>
      <c r="BO977" s="38" t="s">
        <v>773</v>
      </c>
      <c r="DI977" s="38">
        <f>74/3</f>
        <v>24.666666666666668</v>
      </c>
      <c r="DJ977" s="38">
        <f>72/3</f>
        <v>24</v>
      </c>
      <c r="DK977" s="38" t="s">
        <v>801</v>
      </c>
      <c r="FR977" s="38" t="s">
        <v>775</v>
      </c>
      <c r="FS977" s="38" t="s">
        <v>774</v>
      </c>
      <c r="FT977" s="38">
        <v>46</v>
      </c>
    </row>
    <row r="978" spans="1:176" s="38" customFormat="1" x14ac:dyDescent="0.25">
      <c r="A978" s="38">
        <v>46</v>
      </c>
      <c r="B978" s="38" t="s">
        <v>758</v>
      </c>
      <c r="C978" s="38" t="s">
        <v>757</v>
      </c>
      <c r="D978" s="38">
        <v>2013</v>
      </c>
      <c r="E978" s="38">
        <v>2009</v>
      </c>
      <c r="F978" s="38" t="s">
        <v>371</v>
      </c>
      <c r="G978" s="38" t="s">
        <v>762</v>
      </c>
      <c r="H978" s="38">
        <f>48+48/60</f>
        <v>48.8</v>
      </c>
      <c r="I978" s="38">
        <f>-111-38.5/60</f>
        <v>-111.64166666666667</v>
      </c>
      <c r="J978" s="38">
        <v>1102</v>
      </c>
      <c r="P978" s="57">
        <v>1</v>
      </c>
      <c r="Q978" s="57"/>
      <c r="R978" s="57" t="s">
        <v>770</v>
      </c>
      <c r="S978" s="57" t="s">
        <v>1579</v>
      </c>
      <c r="T978" s="57" t="s">
        <v>1565</v>
      </c>
      <c r="U978" s="57" t="s">
        <v>1593</v>
      </c>
      <c r="V978" s="57" t="s">
        <v>1908</v>
      </c>
      <c r="Z978" s="38" t="s">
        <v>167</v>
      </c>
      <c r="AA978" s="38">
        <v>6.9</v>
      </c>
      <c r="AB978" s="38">
        <v>1.22</v>
      </c>
      <c r="AD978" s="38" t="s">
        <v>1502</v>
      </c>
      <c r="AE978" s="38" t="s">
        <v>1719</v>
      </c>
      <c r="AF978" s="152" t="s">
        <v>666</v>
      </c>
      <c r="AG978" s="38" t="s">
        <v>1707</v>
      </c>
      <c r="AH978" s="155" t="s">
        <v>1800</v>
      </c>
      <c r="AI978" s="38" t="s">
        <v>1807</v>
      </c>
      <c r="AJ978" s="38" t="s">
        <v>1807</v>
      </c>
      <c r="AK978" s="38" t="s">
        <v>212</v>
      </c>
      <c r="AM978" s="38" t="s">
        <v>188</v>
      </c>
      <c r="AO978" s="38">
        <v>0</v>
      </c>
      <c r="AP978" s="38">
        <v>0</v>
      </c>
      <c r="AQ978" s="38" t="s">
        <v>212</v>
      </c>
      <c r="AR978" s="38" t="s">
        <v>147</v>
      </c>
      <c r="AS978" s="38">
        <v>8</v>
      </c>
      <c r="AT978" s="38">
        <v>8</v>
      </c>
      <c r="AU978" s="38" t="s">
        <v>169</v>
      </c>
      <c r="AW978" s="38">
        <v>1090</v>
      </c>
      <c r="AX978" s="38">
        <f>AW978/28.4</f>
        <v>38.380281690140848</v>
      </c>
      <c r="AY978" s="67" t="s">
        <v>768</v>
      </c>
      <c r="BM978" s="38">
        <v>15</v>
      </c>
      <c r="BN978" s="38">
        <v>13</v>
      </c>
      <c r="BO978" s="38" t="s">
        <v>773</v>
      </c>
      <c r="DI978" s="38">
        <f>44/3</f>
        <v>14.666666666666666</v>
      </c>
      <c r="DJ978" s="38">
        <f>36/3</f>
        <v>12</v>
      </c>
      <c r="DK978" s="38" t="s">
        <v>801</v>
      </c>
      <c r="FR978" s="38" t="s">
        <v>775</v>
      </c>
      <c r="FS978" s="38" t="s">
        <v>774</v>
      </c>
      <c r="FT978" s="38">
        <v>46</v>
      </c>
    </row>
    <row r="979" spans="1:176" s="38" customFormat="1" x14ac:dyDescent="0.25">
      <c r="A979" s="38">
        <v>46</v>
      </c>
      <c r="B979" s="38" t="s">
        <v>758</v>
      </c>
      <c r="C979" s="38" t="s">
        <v>757</v>
      </c>
      <c r="D979" s="38">
        <v>2013</v>
      </c>
      <c r="E979" s="38">
        <v>2009</v>
      </c>
      <c r="F979" s="38" t="s">
        <v>371</v>
      </c>
      <c r="G979" s="38" t="s">
        <v>763</v>
      </c>
      <c r="H979" s="38">
        <f>48+48/60</f>
        <v>48.8</v>
      </c>
      <c r="I979" s="38">
        <f>-111-31/60</f>
        <v>-111.51666666666667</v>
      </c>
      <c r="J979" s="38">
        <v>1090</v>
      </c>
      <c r="P979" s="57">
        <v>1</v>
      </c>
      <c r="Q979" s="57"/>
      <c r="R979" s="57" t="s">
        <v>770</v>
      </c>
      <c r="S979" s="57" t="s">
        <v>1579</v>
      </c>
      <c r="T979" s="57" t="s">
        <v>1565</v>
      </c>
      <c r="U979" s="57" t="s">
        <v>1593</v>
      </c>
      <c r="V979" s="57" t="s">
        <v>1908</v>
      </c>
      <c r="Z979" s="38" t="s">
        <v>604</v>
      </c>
      <c r="AA979" s="38">
        <v>7.8</v>
      </c>
      <c r="AB979" s="38">
        <v>1.1000000000000001</v>
      </c>
      <c r="AD979" s="38" t="s">
        <v>1502</v>
      </c>
      <c r="AE979" s="38" t="s">
        <v>650</v>
      </c>
      <c r="AF979" s="152" t="s">
        <v>666</v>
      </c>
      <c r="AG979" s="38" t="s">
        <v>1707</v>
      </c>
      <c r="AH979" s="155" t="s">
        <v>1800</v>
      </c>
      <c r="AI979" s="38" t="s">
        <v>1807</v>
      </c>
      <c r="AJ979" s="38" t="s">
        <v>1807</v>
      </c>
      <c r="AK979" s="38" t="s">
        <v>212</v>
      </c>
      <c r="AM979" s="38" t="s">
        <v>188</v>
      </c>
      <c r="AO979" s="38">
        <v>0</v>
      </c>
      <c r="AP979" s="38">
        <v>0</v>
      </c>
      <c r="AQ979" s="38" t="s">
        <v>212</v>
      </c>
      <c r="AR979" s="38" t="s">
        <v>147</v>
      </c>
      <c r="AS979" s="38">
        <v>8</v>
      </c>
      <c r="AT979" s="38">
        <v>8</v>
      </c>
      <c r="AU979" s="38" t="s">
        <v>169</v>
      </c>
      <c r="AW979" s="38">
        <v>550</v>
      </c>
      <c r="AX979" s="38">
        <f>AW979/14.5</f>
        <v>37.931034482758619</v>
      </c>
      <c r="AY979" s="67" t="s">
        <v>769</v>
      </c>
      <c r="BM979" s="38">
        <v>2</v>
      </c>
      <c r="BN979" s="38">
        <v>2</v>
      </c>
      <c r="BO979" s="38" t="s">
        <v>773</v>
      </c>
      <c r="DI979" s="38">
        <f>61/3</f>
        <v>20.333333333333332</v>
      </c>
      <c r="DJ979" s="38">
        <f>49/3</f>
        <v>16.333333333333332</v>
      </c>
      <c r="DK979" s="38" t="s">
        <v>801</v>
      </c>
      <c r="FR979" s="38" t="s">
        <v>775</v>
      </c>
      <c r="FS979" s="38" t="s">
        <v>774</v>
      </c>
      <c r="FT979" s="38">
        <v>46</v>
      </c>
    </row>
    <row r="980" spans="1:176" s="69" customFormat="1" x14ac:dyDescent="0.25">
      <c r="A980" s="69">
        <v>46</v>
      </c>
      <c r="B980" s="69" t="s">
        <v>758</v>
      </c>
      <c r="C980" s="69" t="s">
        <v>757</v>
      </c>
      <c r="D980" s="69">
        <v>2013</v>
      </c>
      <c r="E980" s="69">
        <v>2009</v>
      </c>
      <c r="F980" s="69" t="s">
        <v>371</v>
      </c>
      <c r="G980" s="69" t="s">
        <v>759</v>
      </c>
      <c r="H980" s="69">
        <f>47+55/60</f>
        <v>47.916666666666664</v>
      </c>
      <c r="I980" s="69">
        <f>-109-55/60</f>
        <v>-109.91666666666667</v>
      </c>
      <c r="J980" s="69">
        <v>888</v>
      </c>
      <c r="P980" s="70">
        <v>1</v>
      </c>
      <c r="Q980" s="70"/>
      <c r="R980" s="70" t="s">
        <v>771</v>
      </c>
      <c r="S980" s="70" t="s">
        <v>1565</v>
      </c>
      <c r="T980" s="70" t="s">
        <v>1565</v>
      </c>
      <c r="U980" s="70" t="s">
        <v>1593</v>
      </c>
      <c r="V980" s="57" t="s">
        <v>1908</v>
      </c>
      <c r="Z980" s="69" t="s">
        <v>604</v>
      </c>
      <c r="AA980" s="69">
        <v>6.1</v>
      </c>
      <c r="AB980" s="69">
        <v>1.1000000000000001</v>
      </c>
      <c r="AD980" s="69" t="s">
        <v>1502</v>
      </c>
      <c r="AE980" s="69" t="s">
        <v>1719</v>
      </c>
      <c r="AF980" s="152" t="s">
        <v>666</v>
      </c>
      <c r="AG980" s="69" t="s">
        <v>1707</v>
      </c>
      <c r="AH980" s="155" t="s">
        <v>1800</v>
      </c>
      <c r="AI980" s="38" t="s">
        <v>1807</v>
      </c>
      <c r="AJ980" s="38" t="s">
        <v>1807</v>
      </c>
      <c r="AK980" s="38" t="s">
        <v>212</v>
      </c>
      <c r="AM980" s="69" t="s">
        <v>188</v>
      </c>
      <c r="AO980" s="69">
        <v>0</v>
      </c>
      <c r="AP980" s="69">
        <v>0</v>
      </c>
      <c r="AQ980" s="69" t="s">
        <v>212</v>
      </c>
      <c r="AR980" s="69" t="s">
        <v>147</v>
      </c>
      <c r="AS980" s="69">
        <v>6</v>
      </c>
      <c r="AT980" s="69">
        <v>6</v>
      </c>
      <c r="AU980" s="69" t="s">
        <v>169</v>
      </c>
      <c r="AW980" s="69">
        <f>1.07*1000</f>
        <v>1070</v>
      </c>
      <c r="AX980" s="69">
        <f>AW980/44.2</f>
        <v>24.20814479638009</v>
      </c>
      <c r="AY980" s="71" t="s">
        <v>765</v>
      </c>
      <c r="BM980" s="69">
        <v>47</v>
      </c>
      <c r="BN980" s="69">
        <v>26</v>
      </c>
      <c r="BO980" s="38" t="s">
        <v>773</v>
      </c>
      <c r="DI980" s="69">
        <f>64/3</f>
        <v>21.333333333333332</v>
      </c>
      <c r="DJ980" s="69">
        <f>68/3</f>
        <v>22.666666666666668</v>
      </c>
      <c r="DK980" s="38" t="s">
        <v>801</v>
      </c>
      <c r="FR980" s="38" t="s">
        <v>775</v>
      </c>
      <c r="FS980" s="31" t="s">
        <v>774</v>
      </c>
      <c r="FT980" s="69">
        <v>46</v>
      </c>
    </row>
    <row r="981" spans="1:176" s="69" customFormat="1" x14ac:dyDescent="0.25">
      <c r="A981" s="69">
        <v>46</v>
      </c>
      <c r="B981" s="69" t="s">
        <v>758</v>
      </c>
      <c r="C981" s="69" t="s">
        <v>757</v>
      </c>
      <c r="D981" s="69">
        <v>2013</v>
      </c>
      <c r="E981" s="69">
        <v>2009</v>
      </c>
      <c r="F981" s="69" t="s">
        <v>371</v>
      </c>
      <c r="G981" s="69" t="s">
        <v>760</v>
      </c>
      <c r="H981" s="69">
        <f>48+18/60</f>
        <v>48.3</v>
      </c>
      <c r="I981" s="69">
        <f>-110-6/60</f>
        <v>-110.1</v>
      </c>
      <c r="J981" s="69">
        <v>833</v>
      </c>
      <c r="P981" s="70">
        <v>1</v>
      </c>
      <c r="Q981" s="70"/>
      <c r="R981" s="70" t="s">
        <v>771</v>
      </c>
      <c r="S981" s="70" t="s">
        <v>1565</v>
      </c>
      <c r="T981" s="70" t="s">
        <v>1565</v>
      </c>
      <c r="U981" s="70" t="s">
        <v>1593</v>
      </c>
      <c r="V981" s="57" t="s">
        <v>1908</v>
      </c>
      <c r="Z981" s="69" t="s">
        <v>167</v>
      </c>
      <c r="AA981" s="69">
        <v>6.9</v>
      </c>
      <c r="AB981" s="69">
        <v>0.87</v>
      </c>
      <c r="AD981" s="69" t="s">
        <v>1502</v>
      </c>
      <c r="AE981" s="69" t="s">
        <v>1720</v>
      </c>
      <c r="AF981" s="152" t="s">
        <v>666</v>
      </c>
      <c r="AG981" s="69" t="s">
        <v>1707</v>
      </c>
      <c r="AH981" s="155" t="s">
        <v>1800</v>
      </c>
      <c r="AI981" s="38" t="s">
        <v>1807</v>
      </c>
      <c r="AJ981" s="38" t="s">
        <v>1807</v>
      </c>
      <c r="AK981" s="38" t="s">
        <v>212</v>
      </c>
      <c r="AM981" s="69" t="s">
        <v>188</v>
      </c>
      <c r="AO981" s="69">
        <v>0</v>
      </c>
      <c r="AP981" s="69">
        <v>0</v>
      </c>
      <c r="AQ981" s="69" t="s">
        <v>212</v>
      </c>
      <c r="AR981" s="69" t="s">
        <v>147</v>
      </c>
      <c r="AS981" s="69">
        <v>8</v>
      </c>
      <c r="AT981" s="69">
        <v>8</v>
      </c>
      <c r="AU981" s="69" t="s">
        <v>169</v>
      </c>
      <c r="AW981" s="69">
        <v>730</v>
      </c>
      <c r="AX981" s="69">
        <f>AW981/19.3</f>
        <v>37.823834196891191</v>
      </c>
      <c r="AY981" s="71" t="s">
        <v>766</v>
      </c>
      <c r="BM981" s="69">
        <v>29</v>
      </c>
      <c r="BN981" s="69">
        <v>15</v>
      </c>
      <c r="BO981" s="38" t="s">
        <v>773</v>
      </c>
      <c r="DI981" s="69">
        <f>56/3</f>
        <v>18.666666666666668</v>
      </c>
      <c r="DJ981" s="69">
        <f>36/3</f>
        <v>12</v>
      </c>
      <c r="DK981" s="38" t="s">
        <v>801</v>
      </c>
      <c r="FR981" s="38" t="s">
        <v>775</v>
      </c>
      <c r="FS981" s="31" t="s">
        <v>774</v>
      </c>
      <c r="FT981" s="69">
        <v>46</v>
      </c>
    </row>
    <row r="982" spans="1:176" s="69" customFormat="1" x14ac:dyDescent="0.25">
      <c r="A982" s="69">
        <v>46</v>
      </c>
      <c r="B982" s="69" t="s">
        <v>758</v>
      </c>
      <c r="C982" s="69" t="s">
        <v>757</v>
      </c>
      <c r="D982" s="69">
        <v>2013</v>
      </c>
      <c r="E982" s="69">
        <v>2009</v>
      </c>
      <c r="F982" s="69" t="s">
        <v>371</v>
      </c>
      <c r="G982" s="69" t="s">
        <v>761</v>
      </c>
      <c r="H982" s="69">
        <f>48+45/60</f>
        <v>48.75</v>
      </c>
      <c r="I982" s="69">
        <f>-110-52/60</f>
        <v>-110.86666666666666</v>
      </c>
      <c r="J982" s="69">
        <v>1059</v>
      </c>
      <c r="P982" s="70">
        <v>1</v>
      </c>
      <c r="Q982" s="70"/>
      <c r="R982" s="70" t="s">
        <v>771</v>
      </c>
      <c r="S982" s="70" t="s">
        <v>1565</v>
      </c>
      <c r="T982" s="70" t="s">
        <v>1565</v>
      </c>
      <c r="U982" s="70" t="s">
        <v>1593</v>
      </c>
      <c r="V982" s="57" t="s">
        <v>1908</v>
      </c>
      <c r="Z982" s="69" t="s">
        <v>764</v>
      </c>
      <c r="AA982" s="69">
        <v>7.6</v>
      </c>
      <c r="AB982" s="69">
        <v>1.28</v>
      </c>
      <c r="AD982" s="69" t="s">
        <v>1502</v>
      </c>
      <c r="AE982" s="69" t="s">
        <v>1719</v>
      </c>
      <c r="AF982" s="152" t="s">
        <v>666</v>
      </c>
      <c r="AG982" s="69" t="s">
        <v>1707</v>
      </c>
      <c r="AH982" s="155" t="s">
        <v>1800</v>
      </c>
      <c r="AI982" s="38" t="s">
        <v>1807</v>
      </c>
      <c r="AJ982" s="38" t="s">
        <v>1807</v>
      </c>
      <c r="AK982" s="38" t="s">
        <v>212</v>
      </c>
      <c r="AM982" s="69" t="s">
        <v>188</v>
      </c>
      <c r="AO982" s="69">
        <v>0</v>
      </c>
      <c r="AP982" s="69">
        <v>0</v>
      </c>
      <c r="AQ982" s="69" t="s">
        <v>212</v>
      </c>
      <c r="AR982" s="69" t="s">
        <v>147</v>
      </c>
      <c r="AS982" s="69">
        <v>12</v>
      </c>
      <c r="AT982" s="69">
        <v>12</v>
      </c>
      <c r="AU982" s="69" t="s">
        <v>169</v>
      </c>
      <c r="AW982" s="69">
        <f>1.02*1000</f>
        <v>1020</v>
      </c>
      <c r="AX982" s="69">
        <f>AW982/37.8</f>
        <v>26.984126984126988</v>
      </c>
      <c r="AY982" s="71" t="s">
        <v>767</v>
      </c>
      <c r="BM982" s="69">
        <v>24</v>
      </c>
      <c r="BN982" s="69">
        <v>19</v>
      </c>
      <c r="BO982" s="38" t="s">
        <v>773</v>
      </c>
      <c r="DI982" s="69">
        <f>64/3</f>
        <v>21.333333333333332</v>
      </c>
      <c r="DJ982" s="69">
        <f>45/3</f>
        <v>15</v>
      </c>
      <c r="DK982" s="38" t="s">
        <v>801</v>
      </c>
      <c r="FR982" s="38" t="s">
        <v>775</v>
      </c>
      <c r="FS982" s="31" t="s">
        <v>774</v>
      </c>
      <c r="FT982" s="69">
        <v>46</v>
      </c>
    </row>
    <row r="983" spans="1:176" s="69" customFormat="1" x14ac:dyDescent="0.25">
      <c r="A983" s="69">
        <v>46</v>
      </c>
      <c r="B983" s="69" t="s">
        <v>758</v>
      </c>
      <c r="C983" s="69" t="s">
        <v>757</v>
      </c>
      <c r="D983" s="69">
        <v>2013</v>
      </c>
      <c r="E983" s="69">
        <v>2009</v>
      </c>
      <c r="F983" s="69" t="s">
        <v>371</v>
      </c>
      <c r="G983" s="69" t="s">
        <v>762</v>
      </c>
      <c r="H983" s="69">
        <f>48+48/60</f>
        <v>48.8</v>
      </c>
      <c r="I983" s="69">
        <f>-111-38.5/60</f>
        <v>-111.64166666666667</v>
      </c>
      <c r="J983" s="69">
        <v>1102</v>
      </c>
      <c r="P983" s="70">
        <v>1</v>
      </c>
      <c r="Q983" s="70"/>
      <c r="R983" s="70" t="s">
        <v>771</v>
      </c>
      <c r="S983" s="70" t="s">
        <v>1565</v>
      </c>
      <c r="T983" s="70" t="s">
        <v>1565</v>
      </c>
      <c r="U983" s="70" t="s">
        <v>1593</v>
      </c>
      <c r="V983" s="57" t="s">
        <v>1908</v>
      </c>
      <c r="Z983" s="69" t="s">
        <v>167</v>
      </c>
      <c r="AA983" s="69">
        <v>6.9</v>
      </c>
      <c r="AB983" s="69">
        <v>1.22</v>
      </c>
      <c r="AD983" s="69" t="s">
        <v>1502</v>
      </c>
      <c r="AE983" s="69" t="s">
        <v>1719</v>
      </c>
      <c r="AF983" s="152" t="s">
        <v>666</v>
      </c>
      <c r="AG983" s="69" t="s">
        <v>1707</v>
      </c>
      <c r="AH983" s="155" t="s">
        <v>1800</v>
      </c>
      <c r="AI983" s="38" t="s">
        <v>1807</v>
      </c>
      <c r="AJ983" s="38" t="s">
        <v>1807</v>
      </c>
      <c r="AK983" s="38" t="s">
        <v>212</v>
      </c>
      <c r="AM983" s="69" t="s">
        <v>188</v>
      </c>
      <c r="AO983" s="69">
        <v>0</v>
      </c>
      <c r="AP983" s="69">
        <v>0</v>
      </c>
      <c r="AQ983" s="69" t="s">
        <v>212</v>
      </c>
      <c r="AR983" s="69" t="s">
        <v>147</v>
      </c>
      <c r="AS983" s="69">
        <v>8</v>
      </c>
      <c r="AT983" s="69">
        <v>8</v>
      </c>
      <c r="AU983" s="69" t="s">
        <v>169</v>
      </c>
      <c r="AW983" s="69">
        <v>1090</v>
      </c>
      <c r="AX983" s="69">
        <f>AW983/28.4</f>
        <v>38.380281690140848</v>
      </c>
      <c r="AY983" s="71" t="s">
        <v>768</v>
      </c>
      <c r="BM983" s="69">
        <v>54</v>
      </c>
      <c r="BN983" s="69">
        <v>23</v>
      </c>
      <c r="BO983" s="38" t="s">
        <v>773</v>
      </c>
      <c r="DI983" s="69">
        <f>80/3</f>
        <v>26.666666666666668</v>
      </c>
      <c r="DJ983" s="69">
        <f>72/3</f>
        <v>24</v>
      </c>
      <c r="DK983" s="38" t="s">
        <v>801</v>
      </c>
      <c r="FR983" s="38" t="s">
        <v>775</v>
      </c>
      <c r="FS983" s="31" t="s">
        <v>774</v>
      </c>
      <c r="FT983" s="69">
        <v>46</v>
      </c>
    </row>
    <row r="984" spans="1:176" s="69" customFormat="1" x14ac:dyDescent="0.25">
      <c r="A984" s="69">
        <v>46</v>
      </c>
      <c r="B984" s="69" t="s">
        <v>758</v>
      </c>
      <c r="C984" s="69" t="s">
        <v>757</v>
      </c>
      <c r="D984" s="69">
        <v>2013</v>
      </c>
      <c r="E984" s="69">
        <v>2009</v>
      </c>
      <c r="F984" s="69" t="s">
        <v>371</v>
      </c>
      <c r="G984" s="69" t="s">
        <v>763</v>
      </c>
      <c r="H984" s="69">
        <f>48+48/60</f>
        <v>48.8</v>
      </c>
      <c r="I984" s="69">
        <f>-111-31/60</f>
        <v>-111.51666666666667</v>
      </c>
      <c r="J984" s="69">
        <v>1090</v>
      </c>
      <c r="P984" s="70">
        <v>1</v>
      </c>
      <c r="Q984" s="70"/>
      <c r="R984" s="70" t="s">
        <v>771</v>
      </c>
      <c r="S984" s="70" t="s">
        <v>1565</v>
      </c>
      <c r="T984" s="70" t="s">
        <v>1565</v>
      </c>
      <c r="U984" s="70" t="s">
        <v>1593</v>
      </c>
      <c r="V984" s="57" t="s">
        <v>1908</v>
      </c>
      <c r="Z984" s="69" t="s">
        <v>604</v>
      </c>
      <c r="AA984" s="69">
        <v>7.8</v>
      </c>
      <c r="AB984" s="69">
        <v>1.1000000000000001</v>
      </c>
      <c r="AD984" s="69" t="s">
        <v>1502</v>
      </c>
      <c r="AE984" s="69" t="s">
        <v>650</v>
      </c>
      <c r="AF984" s="152" t="s">
        <v>666</v>
      </c>
      <c r="AG984" s="69" t="s">
        <v>1707</v>
      </c>
      <c r="AH984" s="155" t="s">
        <v>1800</v>
      </c>
      <c r="AI984" s="38" t="s">
        <v>1807</v>
      </c>
      <c r="AJ984" s="38" t="s">
        <v>1807</v>
      </c>
      <c r="AK984" s="38" t="s">
        <v>212</v>
      </c>
      <c r="AM984" s="69" t="s">
        <v>188</v>
      </c>
      <c r="AO984" s="69">
        <v>0</v>
      </c>
      <c r="AP984" s="69">
        <v>0</v>
      </c>
      <c r="AQ984" s="69" t="s">
        <v>212</v>
      </c>
      <c r="AR984" s="69" t="s">
        <v>147</v>
      </c>
      <c r="AS984" s="69">
        <v>8</v>
      </c>
      <c r="AT984" s="69">
        <v>8</v>
      </c>
      <c r="AU984" s="69" t="s">
        <v>169</v>
      </c>
      <c r="AW984" s="69">
        <v>550</v>
      </c>
      <c r="AX984" s="69">
        <f>AW984/14.5</f>
        <v>37.931034482758619</v>
      </c>
      <c r="AY984" s="71" t="s">
        <v>769</v>
      </c>
      <c r="BM984" s="69">
        <v>16</v>
      </c>
      <c r="BN984" s="69">
        <v>10</v>
      </c>
      <c r="BO984" s="38" t="s">
        <v>773</v>
      </c>
      <c r="DI984" s="69">
        <f>83/3</f>
        <v>27.666666666666668</v>
      </c>
      <c r="DJ984" s="69">
        <f>73/3</f>
        <v>24.333333333333332</v>
      </c>
      <c r="DK984" s="38" t="s">
        <v>801</v>
      </c>
      <c r="FR984" s="38" t="s">
        <v>775</v>
      </c>
      <c r="FS984" s="31" t="s">
        <v>774</v>
      </c>
      <c r="FT984" s="69">
        <v>46</v>
      </c>
    </row>
    <row r="985" spans="1:176" s="72" customFormat="1" x14ac:dyDescent="0.25">
      <c r="A985" s="72">
        <v>46</v>
      </c>
      <c r="B985" s="72" t="s">
        <v>758</v>
      </c>
      <c r="C985" s="72" t="s">
        <v>757</v>
      </c>
      <c r="D985" s="72">
        <v>2013</v>
      </c>
      <c r="E985" s="72">
        <v>2009</v>
      </c>
      <c r="F985" s="72" t="s">
        <v>371</v>
      </c>
      <c r="G985" s="72" t="s">
        <v>759</v>
      </c>
      <c r="H985" s="72">
        <f>47+55/60</f>
        <v>47.916666666666664</v>
      </c>
      <c r="I985" s="72">
        <f>-109-55/60</f>
        <v>-109.91666666666667</v>
      </c>
      <c r="J985" s="72">
        <v>888</v>
      </c>
      <c r="P985" s="73">
        <v>1</v>
      </c>
      <c r="Q985" s="73"/>
      <c r="R985" s="73" t="s">
        <v>771</v>
      </c>
      <c r="S985" s="73" t="s">
        <v>1578</v>
      </c>
      <c r="T985" s="73" t="s">
        <v>1565</v>
      </c>
      <c r="U985" s="73" t="s">
        <v>1593</v>
      </c>
      <c r="V985" s="57" t="s">
        <v>1908</v>
      </c>
      <c r="Z985" s="72" t="s">
        <v>604</v>
      </c>
      <c r="AA985" s="72">
        <v>6.1</v>
      </c>
      <c r="AB985" s="72">
        <v>1.1000000000000001</v>
      </c>
      <c r="AD985" s="72" t="s">
        <v>1502</v>
      </c>
      <c r="AE985" s="72" t="s">
        <v>1719</v>
      </c>
      <c r="AF985" s="152" t="s">
        <v>666</v>
      </c>
      <c r="AG985" s="72" t="s">
        <v>1707</v>
      </c>
      <c r="AH985" s="155" t="s">
        <v>1800</v>
      </c>
      <c r="AI985" s="31" t="s">
        <v>1807</v>
      </c>
      <c r="AJ985" s="31" t="s">
        <v>1807</v>
      </c>
      <c r="AK985" s="31" t="s">
        <v>212</v>
      </c>
      <c r="AM985" s="72" t="s">
        <v>188</v>
      </c>
      <c r="AO985" s="72">
        <v>0</v>
      </c>
      <c r="AP985" s="72">
        <v>0</v>
      </c>
      <c r="AQ985" s="72" t="s">
        <v>212</v>
      </c>
      <c r="AR985" s="72" t="s">
        <v>147</v>
      </c>
      <c r="AS985" s="72">
        <v>6</v>
      </c>
      <c r="AT985" s="72">
        <v>6</v>
      </c>
      <c r="AU985" s="72" t="s">
        <v>169</v>
      </c>
      <c r="AW985" s="72">
        <f>1.07*1000</f>
        <v>1070</v>
      </c>
      <c r="AX985" s="72">
        <f>AW985/44.2</f>
        <v>24.20814479638009</v>
      </c>
      <c r="AY985" s="74" t="s">
        <v>765</v>
      </c>
      <c r="BM985" s="72">
        <v>20</v>
      </c>
      <c r="BN985" s="72">
        <v>14</v>
      </c>
      <c r="BO985" s="72" t="s">
        <v>773</v>
      </c>
      <c r="DI985" s="72">
        <f>67/3</f>
        <v>22.333333333333332</v>
      </c>
      <c r="DJ985" s="72">
        <f>68/3</f>
        <v>22.666666666666668</v>
      </c>
      <c r="DK985" s="72" t="s">
        <v>801</v>
      </c>
      <c r="FR985" s="72" t="s">
        <v>775</v>
      </c>
      <c r="FS985" s="38" t="s">
        <v>774</v>
      </c>
      <c r="FT985" s="72">
        <v>46</v>
      </c>
    </row>
    <row r="986" spans="1:176" s="72" customFormat="1" x14ac:dyDescent="0.25">
      <c r="A986" s="72">
        <v>46</v>
      </c>
      <c r="B986" s="72" t="s">
        <v>758</v>
      </c>
      <c r="C986" s="72" t="s">
        <v>757</v>
      </c>
      <c r="D986" s="72">
        <v>2013</v>
      </c>
      <c r="E986" s="72">
        <v>2009</v>
      </c>
      <c r="F986" s="72" t="s">
        <v>371</v>
      </c>
      <c r="G986" s="72" t="s">
        <v>760</v>
      </c>
      <c r="H986" s="72">
        <f>48+18/60</f>
        <v>48.3</v>
      </c>
      <c r="I986" s="72">
        <f>-110-6/60</f>
        <v>-110.1</v>
      </c>
      <c r="J986" s="72">
        <v>833</v>
      </c>
      <c r="P986" s="73">
        <v>1</v>
      </c>
      <c r="Q986" s="73"/>
      <c r="R986" s="73" t="s">
        <v>771</v>
      </c>
      <c r="S986" s="73" t="s">
        <v>1578</v>
      </c>
      <c r="T986" s="73" t="s">
        <v>1565</v>
      </c>
      <c r="U986" s="73" t="s">
        <v>1593</v>
      </c>
      <c r="V986" s="57" t="s">
        <v>1908</v>
      </c>
      <c r="Z986" s="72" t="s">
        <v>167</v>
      </c>
      <c r="AA986" s="72">
        <v>6.9</v>
      </c>
      <c r="AB986" s="72">
        <v>0.87</v>
      </c>
      <c r="AD986" s="72" t="s">
        <v>1502</v>
      </c>
      <c r="AE986" s="72" t="s">
        <v>1720</v>
      </c>
      <c r="AF986" s="152" t="s">
        <v>666</v>
      </c>
      <c r="AG986" s="72" t="s">
        <v>1707</v>
      </c>
      <c r="AH986" s="155" t="s">
        <v>1800</v>
      </c>
      <c r="AI986" s="31" t="s">
        <v>1807</v>
      </c>
      <c r="AJ986" s="31" t="s">
        <v>1807</v>
      </c>
      <c r="AK986" s="31" t="s">
        <v>212</v>
      </c>
      <c r="AM986" s="72" t="s">
        <v>188</v>
      </c>
      <c r="AO986" s="72">
        <v>0</v>
      </c>
      <c r="AP986" s="72">
        <v>0</v>
      </c>
      <c r="AQ986" s="72" t="s">
        <v>212</v>
      </c>
      <c r="AR986" s="72" t="s">
        <v>147</v>
      </c>
      <c r="AS986" s="72">
        <v>8</v>
      </c>
      <c r="AT986" s="72">
        <v>8</v>
      </c>
      <c r="AU986" s="72" t="s">
        <v>169</v>
      </c>
      <c r="AW986" s="72">
        <v>730</v>
      </c>
      <c r="AX986" s="72">
        <f>AW986/19.3</f>
        <v>37.823834196891191</v>
      </c>
      <c r="AY986" s="74" t="s">
        <v>766</v>
      </c>
      <c r="BM986" s="72">
        <v>7</v>
      </c>
      <c r="BN986" s="72">
        <v>5</v>
      </c>
      <c r="BO986" s="72" t="s">
        <v>773</v>
      </c>
      <c r="DI986" s="72">
        <f>54/3</f>
        <v>18</v>
      </c>
      <c r="DJ986" s="72">
        <f>39/3</f>
        <v>13</v>
      </c>
      <c r="DK986" s="72" t="s">
        <v>801</v>
      </c>
      <c r="FR986" s="72" t="s">
        <v>775</v>
      </c>
      <c r="FS986" s="38" t="s">
        <v>774</v>
      </c>
      <c r="FT986" s="72">
        <v>46</v>
      </c>
    </row>
    <row r="987" spans="1:176" s="72" customFormat="1" x14ac:dyDescent="0.25">
      <c r="A987" s="72">
        <v>46</v>
      </c>
      <c r="B987" s="72" t="s">
        <v>758</v>
      </c>
      <c r="C987" s="72" t="s">
        <v>757</v>
      </c>
      <c r="D987" s="72">
        <v>2013</v>
      </c>
      <c r="E987" s="72">
        <v>2009</v>
      </c>
      <c r="F987" s="72" t="s">
        <v>371</v>
      </c>
      <c r="G987" s="72" t="s">
        <v>761</v>
      </c>
      <c r="H987" s="72">
        <f>48+45/60</f>
        <v>48.75</v>
      </c>
      <c r="I987" s="72">
        <f>-110-52/60</f>
        <v>-110.86666666666666</v>
      </c>
      <c r="J987" s="72">
        <v>1059</v>
      </c>
      <c r="P987" s="73">
        <v>1</v>
      </c>
      <c r="Q987" s="73"/>
      <c r="R987" s="73" t="s">
        <v>771</v>
      </c>
      <c r="S987" s="73" t="s">
        <v>1578</v>
      </c>
      <c r="T987" s="73" t="s">
        <v>1565</v>
      </c>
      <c r="U987" s="73" t="s">
        <v>1593</v>
      </c>
      <c r="V987" s="57" t="s">
        <v>1908</v>
      </c>
      <c r="Z987" s="72" t="s">
        <v>764</v>
      </c>
      <c r="AA987" s="72">
        <v>7.6</v>
      </c>
      <c r="AB987" s="72">
        <v>1.28</v>
      </c>
      <c r="AD987" s="72" t="s">
        <v>1502</v>
      </c>
      <c r="AE987" s="72" t="s">
        <v>1719</v>
      </c>
      <c r="AF987" s="152" t="s">
        <v>666</v>
      </c>
      <c r="AG987" s="72" t="s">
        <v>1707</v>
      </c>
      <c r="AH987" s="155" t="s">
        <v>1800</v>
      </c>
      <c r="AI987" s="31" t="s">
        <v>1807</v>
      </c>
      <c r="AJ987" s="31" t="s">
        <v>1807</v>
      </c>
      <c r="AK987" s="31" t="s">
        <v>212</v>
      </c>
      <c r="AM987" s="72" t="s">
        <v>188</v>
      </c>
      <c r="AO987" s="72">
        <v>0</v>
      </c>
      <c r="AP987" s="72">
        <v>0</v>
      </c>
      <c r="AQ987" s="72" t="s">
        <v>212</v>
      </c>
      <c r="AR987" s="72" t="s">
        <v>147</v>
      </c>
      <c r="AS987" s="72">
        <v>12</v>
      </c>
      <c r="AT987" s="72">
        <v>12</v>
      </c>
      <c r="AU987" s="72" t="s">
        <v>169</v>
      </c>
      <c r="AW987" s="72">
        <f>1.02*1000</f>
        <v>1020</v>
      </c>
      <c r="AX987" s="72">
        <f>AW987/37.8</f>
        <v>26.984126984126988</v>
      </c>
      <c r="AY987" s="74" t="s">
        <v>767</v>
      </c>
      <c r="BM987" s="72">
        <v>11</v>
      </c>
      <c r="BN987" s="72">
        <v>7</v>
      </c>
      <c r="BO987" s="72" t="s">
        <v>773</v>
      </c>
      <c r="DI987" s="72">
        <f>74/3</f>
        <v>24.666666666666668</v>
      </c>
      <c r="DJ987" s="72">
        <f>61/3</f>
        <v>20.333333333333332</v>
      </c>
      <c r="DK987" s="72" t="s">
        <v>801</v>
      </c>
      <c r="FR987" s="72" t="s">
        <v>775</v>
      </c>
      <c r="FS987" s="38" t="s">
        <v>774</v>
      </c>
      <c r="FT987" s="72">
        <v>46</v>
      </c>
    </row>
    <row r="988" spans="1:176" s="72" customFormat="1" x14ac:dyDescent="0.25">
      <c r="A988" s="72">
        <v>46</v>
      </c>
      <c r="B988" s="72" t="s">
        <v>758</v>
      </c>
      <c r="C988" s="72" t="s">
        <v>757</v>
      </c>
      <c r="D988" s="72">
        <v>2013</v>
      </c>
      <c r="E988" s="72">
        <v>2009</v>
      </c>
      <c r="F988" s="72" t="s">
        <v>371</v>
      </c>
      <c r="G988" s="72" t="s">
        <v>762</v>
      </c>
      <c r="H988" s="72">
        <f>48+48/60</f>
        <v>48.8</v>
      </c>
      <c r="I988" s="72">
        <f>-111-38.5/60</f>
        <v>-111.64166666666667</v>
      </c>
      <c r="J988" s="72">
        <v>1102</v>
      </c>
      <c r="P988" s="73">
        <v>1</v>
      </c>
      <c r="Q988" s="73"/>
      <c r="R988" s="73" t="s">
        <v>771</v>
      </c>
      <c r="S988" s="73" t="s">
        <v>1578</v>
      </c>
      <c r="T988" s="73" t="s">
        <v>1565</v>
      </c>
      <c r="U988" s="73" t="s">
        <v>1593</v>
      </c>
      <c r="V988" s="57" t="s">
        <v>1908</v>
      </c>
      <c r="Z988" s="72" t="s">
        <v>167</v>
      </c>
      <c r="AA988" s="72">
        <v>6.9</v>
      </c>
      <c r="AB988" s="72">
        <v>1.22</v>
      </c>
      <c r="AD988" s="72" t="s">
        <v>1502</v>
      </c>
      <c r="AE988" s="72" t="s">
        <v>1719</v>
      </c>
      <c r="AF988" s="152" t="s">
        <v>666</v>
      </c>
      <c r="AG988" s="72" t="s">
        <v>1707</v>
      </c>
      <c r="AH988" s="155" t="s">
        <v>1800</v>
      </c>
      <c r="AI988" s="31" t="s">
        <v>1807</v>
      </c>
      <c r="AJ988" s="31" t="s">
        <v>1807</v>
      </c>
      <c r="AK988" s="31" t="s">
        <v>212</v>
      </c>
      <c r="AM988" s="72" t="s">
        <v>188</v>
      </c>
      <c r="AO988" s="72">
        <v>0</v>
      </c>
      <c r="AP988" s="72">
        <v>0</v>
      </c>
      <c r="AQ988" s="72" t="s">
        <v>212</v>
      </c>
      <c r="AR988" s="72" t="s">
        <v>147</v>
      </c>
      <c r="AS988" s="72">
        <v>8</v>
      </c>
      <c r="AT988" s="72">
        <v>8</v>
      </c>
      <c r="AU988" s="72" t="s">
        <v>169</v>
      </c>
      <c r="AW988" s="72">
        <v>1090</v>
      </c>
      <c r="AX988" s="72">
        <f>AW988/28.4</f>
        <v>38.380281690140848</v>
      </c>
      <c r="AY988" s="74" t="s">
        <v>768</v>
      </c>
      <c r="BM988" s="72">
        <v>24</v>
      </c>
      <c r="BN988" s="72">
        <v>7</v>
      </c>
      <c r="BO988" s="72" t="s">
        <v>773</v>
      </c>
      <c r="DI988" s="72">
        <f>58/3</f>
        <v>19.333333333333332</v>
      </c>
      <c r="DJ988" s="72">
        <f>41/3</f>
        <v>13.666666666666666</v>
      </c>
      <c r="DK988" s="72" t="s">
        <v>801</v>
      </c>
      <c r="FR988" s="72" t="s">
        <v>775</v>
      </c>
      <c r="FS988" s="38" t="s">
        <v>774</v>
      </c>
      <c r="FT988" s="72">
        <v>46</v>
      </c>
    </row>
    <row r="989" spans="1:176" s="72" customFormat="1" x14ac:dyDescent="0.25">
      <c r="A989" s="72">
        <v>46</v>
      </c>
      <c r="B989" s="72" t="s">
        <v>758</v>
      </c>
      <c r="C989" s="72" t="s">
        <v>757</v>
      </c>
      <c r="D989" s="72">
        <v>2013</v>
      </c>
      <c r="E989" s="72">
        <v>2009</v>
      </c>
      <c r="F989" s="72" t="s">
        <v>371</v>
      </c>
      <c r="G989" s="72" t="s">
        <v>763</v>
      </c>
      <c r="H989" s="72">
        <f>48+48/60</f>
        <v>48.8</v>
      </c>
      <c r="I989" s="72">
        <f>-111-31/60</f>
        <v>-111.51666666666667</v>
      </c>
      <c r="J989" s="72">
        <v>1090</v>
      </c>
      <c r="P989" s="73">
        <v>1</v>
      </c>
      <c r="Q989" s="73"/>
      <c r="R989" s="73" t="s">
        <v>771</v>
      </c>
      <c r="S989" s="73" t="s">
        <v>1578</v>
      </c>
      <c r="T989" s="73" t="s">
        <v>1565</v>
      </c>
      <c r="U989" s="73" t="s">
        <v>1593</v>
      </c>
      <c r="V989" s="57" t="s">
        <v>1908</v>
      </c>
      <c r="Z989" s="72" t="s">
        <v>604</v>
      </c>
      <c r="AA989" s="72">
        <v>7.8</v>
      </c>
      <c r="AB989" s="72">
        <v>1.1000000000000001</v>
      </c>
      <c r="AD989" s="72" t="s">
        <v>1502</v>
      </c>
      <c r="AE989" s="72" t="s">
        <v>650</v>
      </c>
      <c r="AF989" s="152" t="s">
        <v>666</v>
      </c>
      <c r="AG989" s="72" t="s">
        <v>1707</v>
      </c>
      <c r="AH989" s="155" t="s">
        <v>1800</v>
      </c>
      <c r="AI989" s="31" t="s">
        <v>1807</v>
      </c>
      <c r="AJ989" s="31" t="s">
        <v>1807</v>
      </c>
      <c r="AK989" s="31" t="s">
        <v>212</v>
      </c>
      <c r="AM989" s="72" t="s">
        <v>188</v>
      </c>
      <c r="AO989" s="72">
        <v>0</v>
      </c>
      <c r="AP989" s="72">
        <v>0</v>
      </c>
      <c r="AQ989" s="72" t="s">
        <v>212</v>
      </c>
      <c r="AR989" s="72" t="s">
        <v>147</v>
      </c>
      <c r="AS989" s="72">
        <v>8</v>
      </c>
      <c r="AT989" s="72">
        <v>8</v>
      </c>
      <c r="AU989" s="72" t="s">
        <v>169</v>
      </c>
      <c r="AW989" s="72">
        <v>550</v>
      </c>
      <c r="AX989" s="72">
        <f>AW989/14.5</f>
        <v>37.931034482758619</v>
      </c>
      <c r="AY989" s="74" t="s">
        <v>769</v>
      </c>
      <c r="BM989" s="72">
        <v>6</v>
      </c>
      <c r="BN989" s="72">
        <v>4</v>
      </c>
      <c r="BO989" s="72" t="s">
        <v>773</v>
      </c>
      <c r="DI989" s="72">
        <f>72/3</f>
        <v>24</v>
      </c>
      <c r="DJ989" s="72">
        <f>54/3</f>
        <v>18</v>
      </c>
      <c r="DK989" s="72" t="s">
        <v>801</v>
      </c>
      <c r="FR989" s="72" t="s">
        <v>775</v>
      </c>
      <c r="FS989" s="38" t="s">
        <v>774</v>
      </c>
      <c r="FT989" s="72">
        <v>46</v>
      </c>
    </row>
    <row r="990" spans="1:176" s="69" customFormat="1" x14ac:dyDescent="0.25">
      <c r="A990" s="69">
        <v>46</v>
      </c>
      <c r="B990" s="69" t="s">
        <v>758</v>
      </c>
      <c r="C990" s="69" t="s">
        <v>757</v>
      </c>
      <c r="D990" s="69">
        <v>2013</v>
      </c>
      <c r="E990" s="69">
        <v>2009</v>
      </c>
      <c r="F990" s="69" t="s">
        <v>371</v>
      </c>
      <c r="G990" s="69" t="s">
        <v>759</v>
      </c>
      <c r="H990" s="69">
        <f>47+55/60</f>
        <v>47.916666666666664</v>
      </c>
      <c r="I990" s="69">
        <f>-109-55/60</f>
        <v>-109.91666666666667</v>
      </c>
      <c r="J990" s="69">
        <v>888</v>
      </c>
      <c r="P990" s="70">
        <v>1</v>
      </c>
      <c r="Q990" s="70"/>
      <c r="R990" s="70" t="s">
        <v>771</v>
      </c>
      <c r="S990" s="70" t="s">
        <v>1579</v>
      </c>
      <c r="T990" s="70" t="s">
        <v>1565</v>
      </c>
      <c r="U990" s="70" t="s">
        <v>1593</v>
      </c>
      <c r="V990" s="56" t="s">
        <v>1908</v>
      </c>
      <c r="Z990" s="69" t="s">
        <v>604</v>
      </c>
      <c r="AA990" s="69">
        <v>6.1</v>
      </c>
      <c r="AB990" s="69">
        <v>1.1000000000000001</v>
      </c>
      <c r="AD990" s="69" t="s">
        <v>1502</v>
      </c>
      <c r="AE990" s="69" t="s">
        <v>1719</v>
      </c>
      <c r="AF990" s="152" t="s">
        <v>666</v>
      </c>
      <c r="AG990" s="69" t="s">
        <v>1707</v>
      </c>
      <c r="AH990" s="155" t="s">
        <v>1800</v>
      </c>
      <c r="AI990" s="38" t="s">
        <v>1807</v>
      </c>
      <c r="AJ990" s="38" t="s">
        <v>1807</v>
      </c>
      <c r="AK990" s="38" t="s">
        <v>212</v>
      </c>
      <c r="AM990" s="69" t="s">
        <v>188</v>
      </c>
      <c r="AO990" s="69">
        <v>0</v>
      </c>
      <c r="AP990" s="69">
        <v>0</v>
      </c>
      <c r="AQ990" s="69" t="s">
        <v>212</v>
      </c>
      <c r="AR990" s="69" t="s">
        <v>147</v>
      </c>
      <c r="AS990" s="69">
        <v>6</v>
      </c>
      <c r="AT990" s="69">
        <v>6</v>
      </c>
      <c r="AU990" s="69" t="s">
        <v>169</v>
      </c>
      <c r="AW990" s="69">
        <f>1.07*1000</f>
        <v>1070</v>
      </c>
      <c r="AX990" s="69">
        <f>AW990/44.2</f>
        <v>24.20814479638009</v>
      </c>
      <c r="AY990" s="71" t="s">
        <v>765</v>
      </c>
      <c r="BM990" s="69">
        <v>10</v>
      </c>
      <c r="BN990" s="69">
        <v>7</v>
      </c>
      <c r="BO990" s="69" t="s">
        <v>773</v>
      </c>
      <c r="DI990" s="69">
        <f>62/3</f>
        <v>20.666666666666668</v>
      </c>
      <c r="DJ990" s="69">
        <f>63/3</f>
        <v>21</v>
      </c>
      <c r="DK990" s="38" t="s">
        <v>801</v>
      </c>
      <c r="FR990" s="69" t="s">
        <v>775</v>
      </c>
      <c r="FS990" s="31" t="s">
        <v>774</v>
      </c>
      <c r="FT990" s="69">
        <v>46</v>
      </c>
    </row>
    <row r="991" spans="1:176" s="69" customFormat="1" x14ac:dyDescent="0.25">
      <c r="A991" s="69">
        <v>46</v>
      </c>
      <c r="B991" s="69" t="s">
        <v>758</v>
      </c>
      <c r="C991" s="69" t="s">
        <v>757</v>
      </c>
      <c r="D991" s="69">
        <v>2013</v>
      </c>
      <c r="E991" s="69">
        <v>2009</v>
      </c>
      <c r="F991" s="69" t="s">
        <v>371</v>
      </c>
      <c r="G991" s="69" t="s">
        <v>760</v>
      </c>
      <c r="H991" s="69">
        <f>48+18/60</f>
        <v>48.3</v>
      </c>
      <c r="I991" s="69">
        <f>-110-6/60</f>
        <v>-110.1</v>
      </c>
      <c r="J991" s="69">
        <v>833</v>
      </c>
      <c r="P991" s="70">
        <v>1</v>
      </c>
      <c r="Q991" s="70"/>
      <c r="R991" s="70" t="s">
        <v>771</v>
      </c>
      <c r="S991" s="70" t="s">
        <v>1579</v>
      </c>
      <c r="T991" s="70" t="s">
        <v>1565</v>
      </c>
      <c r="U991" s="70" t="s">
        <v>1593</v>
      </c>
      <c r="V991" s="56" t="s">
        <v>1908</v>
      </c>
      <c r="Z991" s="69" t="s">
        <v>167</v>
      </c>
      <c r="AA991" s="69">
        <v>6.9</v>
      </c>
      <c r="AB991" s="69">
        <v>0.87</v>
      </c>
      <c r="AD991" s="69" t="s">
        <v>1502</v>
      </c>
      <c r="AE991" s="69" t="s">
        <v>1720</v>
      </c>
      <c r="AF991" s="152" t="s">
        <v>666</v>
      </c>
      <c r="AG991" s="69" t="s">
        <v>1707</v>
      </c>
      <c r="AH991" s="155" t="s">
        <v>1800</v>
      </c>
      <c r="AI991" s="38" t="s">
        <v>1807</v>
      </c>
      <c r="AJ991" s="38" t="s">
        <v>1807</v>
      </c>
      <c r="AK991" s="38" t="s">
        <v>212</v>
      </c>
      <c r="AM991" s="69" t="s">
        <v>188</v>
      </c>
      <c r="AO991" s="69">
        <v>0</v>
      </c>
      <c r="AP991" s="69">
        <v>0</v>
      </c>
      <c r="AQ991" s="69" t="s">
        <v>212</v>
      </c>
      <c r="AR991" s="69" t="s">
        <v>147</v>
      </c>
      <c r="AS991" s="69">
        <v>8</v>
      </c>
      <c r="AT991" s="69">
        <v>8</v>
      </c>
      <c r="AU991" s="69" t="s">
        <v>169</v>
      </c>
      <c r="AW991" s="69">
        <v>730</v>
      </c>
      <c r="AX991" s="69">
        <f>AW991/19.3</f>
        <v>37.823834196891191</v>
      </c>
      <c r="AY991" s="71" t="s">
        <v>766</v>
      </c>
      <c r="BM991" s="69">
        <v>24</v>
      </c>
      <c r="BN991" s="69">
        <v>18</v>
      </c>
      <c r="BO991" s="69" t="s">
        <v>773</v>
      </c>
      <c r="DI991" s="69">
        <f>49/3</f>
        <v>16.333333333333332</v>
      </c>
      <c r="DJ991" s="69">
        <f>46/3</f>
        <v>15.333333333333334</v>
      </c>
      <c r="DK991" s="38" t="s">
        <v>801</v>
      </c>
      <c r="FR991" s="69" t="s">
        <v>775</v>
      </c>
      <c r="FS991" s="31" t="s">
        <v>774</v>
      </c>
      <c r="FT991" s="69">
        <v>46</v>
      </c>
    </row>
    <row r="992" spans="1:176" s="69" customFormat="1" x14ac:dyDescent="0.25">
      <c r="A992" s="69">
        <v>46</v>
      </c>
      <c r="B992" s="69" t="s">
        <v>758</v>
      </c>
      <c r="C992" s="69" t="s">
        <v>757</v>
      </c>
      <c r="D992" s="69">
        <v>2013</v>
      </c>
      <c r="E992" s="69">
        <v>2009</v>
      </c>
      <c r="F992" s="69" t="s">
        <v>371</v>
      </c>
      <c r="G992" s="69" t="s">
        <v>761</v>
      </c>
      <c r="H992" s="69">
        <f>48+45/60</f>
        <v>48.75</v>
      </c>
      <c r="I992" s="69">
        <f>-110-52/60</f>
        <v>-110.86666666666666</v>
      </c>
      <c r="J992" s="69">
        <v>1059</v>
      </c>
      <c r="P992" s="70">
        <v>1</v>
      </c>
      <c r="Q992" s="70"/>
      <c r="R992" s="70" t="s">
        <v>771</v>
      </c>
      <c r="S992" s="70" t="s">
        <v>1579</v>
      </c>
      <c r="T992" s="70" t="s">
        <v>1565</v>
      </c>
      <c r="U992" s="70" t="s">
        <v>1593</v>
      </c>
      <c r="V992" s="56" t="s">
        <v>1908</v>
      </c>
      <c r="Z992" s="69" t="s">
        <v>764</v>
      </c>
      <c r="AA992" s="69">
        <v>7.6</v>
      </c>
      <c r="AB992" s="69">
        <v>1.28</v>
      </c>
      <c r="AD992" s="69" t="s">
        <v>1502</v>
      </c>
      <c r="AE992" s="69" t="s">
        <v>1719</v>
      </c>
      <c r="AF992" s="152" t="s">
        <v>666</v>
      </c>
      <c r="AG992" s="69" t="s">
        <v>1707</v>
      </c>
      <c r="AH992" s="155" t="s">
        <v>1800</v>
      </c>
      <c r="AI992" s="38" t="s">
        <v>1807</v>
      </c>
      <c r="AJ992" s="38" t="s">
        <v>1807</v>
      </c>
      <c r="AK992" s="38" t="s">
        <v>212</v>
      </c>
      <c r="AM992" s="69" t="s">
        <v>188</v>
      </c>
      <c r="AO992" s="69">
        <v>0</v>
      </c>
      <c r="AP992" s="69">
        <v>0</v>
      </c>
      <c r="AQ992" s="69" t="s">
        <v>212</v>
      </c>
      <c r="AR992" s="69" t="s">
        <v>147</v>
      </c>
      <c r="AS992" s="69">
        <v>12</v>
      </c>
      <c r="AT992" s="69">
        <v>12</v>
      </c>
      <c r="AU992" s="69" t="s">
        <v>169</v>
      </c>
      <c r="AW992" s="69">
        <f>1.02*1000</f>
        <v>1020</v>
      </c>
      <c r="AX992" s="69">
        <f>AW992/37.8</f>
        <v>26.984126984126988</v>
      </c>
      <c r="AY992" s="71" t="s">
        <v>767</v>
      </c>
      <c r="BM992" s="69">
        <v>29</v>
      </c>
      <c r="BN992" s="69">
        <v>13</v>
      </c>
      <c r="BO992" s="69" t="s">
        <v>773</v>
      </c>
      <c r="DI992" s="69">
        <f>72/3</f>
        <v>24</v>
      </c>
      <c r="DJ992" s="69">
        <f>64/3</f>
        <v>21.333333333333332</v>
      </c>
      <c r="DK992" s="38" t="s">
        <v>801</v>
      </c>
      <c r="FR992" s="69" t="s">
        <v>775</v>
      </c>
      <c r="FS992" s="31" t="s">
        <v>774</v>
      </c>
      <c r="FT992" s="69">
        <v>46</v>
      </c>
    </row>
    <row r="993" spans="1:176" s="69" customFormat="1" x14ac:dyDescent="0.25">
      <c r="A993" s="69">
        <v>46</v>
      </c>
      <c r="B993" s="69" t="s">
        <v>758</v>
      </c>
      <c r="C993" s="69" t="s">
        <v>757</v>
      </c>
      <c r="D993" s="69">
        <v>2013</v>
      </c>
      <c r="E993" s="69">
        <v>2009</v>
      </c>
      <c r="F993" s="69" t="s">
        <v>371</v>
      </c>
      <c r="G993" s="69" t="s">
        <v>762</v>
      </c>
      <c r="H993" s="69">
        <f>48+48/60</f>
        <v>48.8</v>
      </c>
      <c r="I993" s="69">
        <f>-111-38.5/60</f>
        <v>-111.64166666666667</v>
      </c>
      <c r="J993" s="69">
        <v>1102</v>
      </c>
      <c r="P993" s="70">
        <v>1</v>
      </c>
      <c r="Q993" s="70"/>
      <c r="R993" s="70" t="s">
        <v>771</v>
      </c>
      <c r="S993" s="70" t="s">
        <v>1579</v>
      </c>
      <c r="T993" s="70" t="s">
        <v>1565</v>
      </c>
      <c r="U993" s="70" t="s">
        <v>1593</v>
      </c>
      <c r="V993" s="56" t="s">
        <v>1908</v>
      </c>
      <c r="Z993" s="69" t="s">
        <v>167</v>
      </c>
      <c r="AA993" s="69">
        <v>6.9</v>
      </c>
      <c r="AB993" s="69">
        <v>1.22</v>
      </c>
      <c r="AD993" s="69" t="s">
        <v>1502</v>
      </c>
      <c r="AE993" s="69" t="s">
        <v>1719</v>
      </c>
      <c r="AF993" s="152" t="s">
        <v>666</v>
      </c>
      <c r="AG993" s="69" t="s">
        <v>1707</v>
      </c>
      <c r="AH993" s="155" t="s">
        <v>1800</v>
      </c>
      <c r="AI993" s="38" t="s">
        <v>1807</v>
      </c>
      <c r="AJ993" s="38" t="s">
        <v>1807</v>
      </c>
      <c r="AK993" s="38" t="s">
        <v>212</v>
      </c>
      <c r="AM993" s="69" t="s">
        <v>188</v>
      </c>
      <c r="AO993" s="69">
        <v>0</v>
      </c>
      <c r="AP993" s="69">
        <v>0</v>
      </c>
      <c r="AQ993" s="69" t="s">
        <v>212</v>
      </c>
      <c r="AR993" s="69" t="s">
        <v>147</v>
      </c>
      <c r="AS993" s="69">
        <v>8</v>
      </c>
      <c r="AT993" s="69">
        <v>8</v>
      </c>
      <c r="AU993" s="69" t="s">
        <v>169</v>
      </c>
      <c r="AW993" s="69">
        <v>1090</v>
      </c>
      <c r="AX993" s="69">
        <f>AW993/28.4</f>
        <v>38.380281690140848</v>
      </c>
      <c r="AY993" s="71" t="s">
        <v>768</v>
      </c>
      <c r="BM993" s="69">
        <v>15</v>
      </c>
      <c r="BN993" s="69">
        <v>11</v>
      </c>
      <c r="BO993" s="69" t="s">
        <v>773</v>
      </c>
      <c r="DI993" s="69">
        <f>50/3</f>
        <v>16.666666666666668</v>
      </c>
      <c r="DJ993" s="69">
        <f>38/3</f>
        <v>12.666666666666666</v>
      </c>
      <c r="DK993" s="38" t="s">
        <v>801</v>
      </c>
      <c r="FR993" s="69" t="s">
        <v>775</v>
      </c>
      <c r="FS993" s="31" t="s">
        <v>774</v>
      </c>
      <c r="FT993" s="69">
        <v>46</v>
      </c>
    </row>
    <row r="994" spans="1:176" s="69" customFormat="1" x14ac:dyDescent="0.25">
      <c r="A994" s="69">
        <v>46</v>
      </c>
      <c r="B994" s="69" t="s">
        <v>758</v>
      </c>
      <c r="C994" s="69" t="s">
        <v>757</v>
      </c>
      <c r="D994" s="69">
        <v>2013</v>
      </c>
      <c r="E994" s="69">
        <v>2009</v>
      </c>
      <c r="F994" s="69" t="s">
        <v>371</v>
      </c>
      <c r="G994" s="69" t="s">
        <v>763</v>
      </c>
      <c r="H994" s="69">
        <f>48+48/60</f>
        <v>48.8</v>
      </c>
      <c r="I994" s="69">
        <f>-111-31/60</f>
        <v>-111.51666666666667</v>
      </c>
      <c r="J994" s="69">
        <v>1090</v>
      </c>
      <c r="P994" s="70">
        <v>1</v>
      </c>
      <c r="Q994" s="70"/>
      <c r="R994" s="70" t="s">
        <v>771</v>
      </c>
      <c r="S994" s="70" t="s">
        <v>1579</v>
      </c>
      <c r="T994" s="70" t="s">
        <v>1565</v>
      </c>
      <c r="U994" s="70" t="s">
        <v>1593</v>
      </c>
      <c r="V994" s="56" t="s">
        <v>1908</v>
      </c>
      <c r="Z994" s="69" t="s">
        <v>604</v>
      </c>
      <c r="AA994" s="69">
        <v>7.8</v>
      </c>
      <c r="AB994" s="69">
        <v>1.1000000000000001</v>
      </c>
      <c r="AD994" s="69" t="s">
        <v>1502</v>
      </c>
      <c r="AE994" s="69" t="s">
        <v>650</v>
      </c>
      <c r="AF994" s="152" t="s">
        <v>666</v>
      </c>
      <c r="AG994" s="69" t="s">
        <v>1707</v>
      </c>
      <c r="AH994" s="155" t="s">
        <v>1800</v>
      </c>
      <c r="AI994" s="38" t="s">
        <v>1807</v>
      </c>
      <c r="AJ994" s="38" t="s">
        <v>1807</v>
      </c>
      <c r="AK994" s="38" t="s">
        <v>212</v>
      </c>
      <c r="AM994" s="69" t="s">
        <v>188</v>
      </c>
      <c r="AO994" s="69">
        <v>0</v>
      </c>
      <c r="AP994" s="69">
        <v>0</v>
      </c>
      <c r="AQ994" s="69" t="s">
        <v>212</v>
      </c>
      <c r="AR994" s="69" t="s">
        <v>147</v>
      </c>
      <c r="AS994" s="69">
        <v>8</v>
      </c>
      <c r="AT994" s="69">
        <v>8</v>
      </c>
      <c r="AU994" s="69" t="s">
        <v>169</v>
      </c>
      <c r="AW994" s="69">
        <v>550</v>
      </c>
      <c r="AX994" s="69">
        <f>AW994/14.5</f>
        <v>37.931034482758619</v>
      </c>
      <c r="AY994" s="71" t="s">
        <v>769</v>
      </c>
      <c r="BM994" s="69">
        <v>2</v>
      </c>
      <c r="BN994" s="69">
        <v>3</v>
      </c>
      <c r="BO994" s="69" t="s">
        <v>773</v>
      </c>
      <c r="DI994" s="69">
        <f>62/3</f>
        <v>20.666666666666668</v>
      </c>
      <c r="DJ994" s="69">
        <f>55/3</f>
        <v>18.333333333333332</v>
      </c>
      <c r="DK994" s="38" t="s">
        <v>801</v>
      </c>
      <c r="FR994" s="69" t="s">
        <v>775</v>
      </c>
      <c r="FS994" s="31" t="s">
        <v>774</v>
      </c>
      <c r="FT994" s="69">
        <v>46</v>
      </c>
    </row>
    <row r="995" spans="1:176" s="26" customFormat="1" x14ac:dyDescent="0.25">
      <c r="A995" s="26">
        <v>47</v>
      </c>
      <c r="B995" s="26" t="s">
        <v>776</v>
      </c>
      <c r="C995" s="26" t="s">
        <v>777</v>
      </c>
      <c r="D995" s="26">
        <v>2014</v>
      </c>
      <c r="E995" s="26">
        <v>2012</v>
      </c>
      <c r="F995" s="26" t="s">
        <v>778</v>
      </c>
      <c r="G995" s="26" t="s">
        <v>616</v>
      </c>
      <c r="H995" s="26">
        <v>44.31</v>
      </c>
      <c r="I995" s="75">
        <v>-96.798000000000002</v>
      </c>
      <c r="J995" s="26">
        <v>495.3</v>
      </c>
      <c r="P995" s="52">
        <v>1</v>
      </c>
      <c r="Q995" s="52"/>
      <c r="R995" s="52" t="s">
        <v>264</v>
      </c>
      <c r="S995" s="52" t="s">
        <v>1570</v>
      </c>
      <c r="T995" s="52" t="s">
        <v>1570</v>
      </c>
      <c r="U995" s="52" t="s">
        <v>1570</v>
      </c>
      <c r="V995" s="52" t="s">
        <v>1910</v>
      </c>
      <c r="W995" s="26">
        <v>1.4</v>
      </c>
      <c r="Z995" s="26" t="s">
        <v>1204</v>
      </c>
      <c r="AA995" s="26">
        <v>6.3</v>
      </c>
      <c r="AB995" s="26">
        <v>2.71</v>
      </c>
      <c r="AE995" s="26" t="s">
        <v>650</v>
      </c>
      <c r="AF995" s="152" t="s">
        <v>666</v>
      </c>
      <c r="AG995" s="26" t="s">
        <v>160</v>
      </c>
      <c r="AH995" s="154" t="s">
        <v>1791</v>
      </c>
      <c r="AI995" s="26" t="s">
        <v>779</v>
      </c>
      <c r="AJ995" s="26" t="s">
        <v>779</v>
      </c>
      <c r="AK995" s="26" t="s">
        <v>212</v>
      </c>
      <c r="AR995" s="26" t="s">
        <v>192</v>
      </c>
      <c r="AS995" s="26">
        <v>3</v>
      </c>
      <c r="AT995" s="26">
        <v>3</v>
      </c>
      <c r="AU995" s="26" t="s">
        <v>169</v>
      </c>
      <c r="AZ995" s="26" t="s">
        <v>780</v>
      </c>
      <c r="BJ995" s="26">
        <f>(11.2+15.6+18+13.2+10.5+10.2)/6/10</f>
        <v>1.3116666666666668</v>
      </c>
      <c r="BK995" s="26">
        <f>(17.8+18.6+21.1+16.3+13.1+10.1)/6/10</f>
        <v>1.6166666666666667</v>
      </c>
      <c r="BL995" s="26" t="s">
        <v>195</v>
      </c>
      <c r="CH995" s="26">
        <f>442/10</f>
        <v>44.2</v>
      </c>
      <c r="CI995" s="26">
        <f>(493)/10</f>
        <v>49.3</v>
      </c>
      <c r="CJ995" s="26" t="s">
        <v>1310</v>
      </c>
      <c r="CW995" s="26">
        <f>(32+53)/10</f>
        <v>8.5</v>
      </c>
      <c r="CX995" s="26">
        <f>(45+30)/10</f>
        <v>7.5</v>
      </c>
      <c r="CY995" s="26" t="s">
        <v>1866</v>
      </c>
      <c r="FT995" s="26">
        <v>47</v>
      </c>
    </row>
    <row r="996" spans="1:176" s="26" customFormat="1" x14ac:dyDescent="0.25">
      <c r="A996" s="26">
        <v>47</v>
      </c>
      <c r="B996" s="26" t="s">
        <v>776</v>
      </c>
      <c r="C996" s="26" t="s">
        <v>777</v>
      </c>
      <c r="D996" s="26">
        <v>2014</v>
      </c>
      <c r="E996" s="26">
        <v>2012</v>
      </c>
      <c r="F996" s="26" t="s">
        <v>778</v>
      </c>
      <c r="G996" s="26" t="s">
        <v>616</v>
      </c>
      <c r="H996" s="26">
        <v>44.31</v>
      </c>
      <c r="I996" s="75">
        <v>-96.798000000000002</v>
      </c>
      <c r="J996" s="26">
        <v>495.3</v>
      </c>
      <c r="P996" s="52">
        <v>1</v>
      </c>
      <c r="Q996" s="52"/>
      <c r="R996" s="52" t="s">
        <v>264</v>
      </c>
      <c r="S996" s="52" t="s">
        <v>1570</v>
      </c>
      <c r="T996" s="52" t="s">
        <v>1570</v>
      </c>
      <c r="U996" s="52" t="s">
        <v>1570</v>
      </c>
      <c r="V996" s="52" t="s">
        <v>1910</v>
      </c>
      <c r="W996" s="26">
        <v>1.4</v>
      </c>
      <c r="Z996" s="26" t="s">
        <v>1204</v>
      </c>
      <c r="AA996" s="26">
        <v>6.3</v>
      </c>
      <c r="AB996" s="26">
        <v>2.71</v>
      </c>
      <c r="AE996" s="26" t="s">
        <v>650</v>
      </c>
      <c r="AF996" s="152" t="s">
        <v>666</v>
      </c>
      <c r="AG996" s="26" t="s">
        <v>160</v>
      </c>
      <c r="AH996" s="154" t="s">
        <v>1791</v>
      </c>
      <c r="AI996" s="26" t="s">
        <v>779</v>
      </c>
      <c r="AJ996" s="26" t="s">
        <v>779</v>
      </c>
      <c r="AK996" s="26" t="s">
        <v>212</v>
      </c>
      <c r="AR996" s="26" t="s">
        <v>192</v>
      </c>
      <c r="AS996" s="26">
        <v>3</v>
      </c>
      <c r="AT996" s="26">
        <v>3</v>
      </c>
      <c r="AU996" s="26" t="s">
        <v>169</v>
      </c>
      <c r="AZ996" s="26" t="s">
        <v>781</v>
      </c>
      <c r="BJ996" s="26">
        <f>(10.8+11.9+13.6+9.7+8.5+8.2)/6/10</f>
        <v>1.0450000000000002</v>
      </c>
      <c r="BK996" s="26">
        <f>(8.7+10.2+13.2+9+7.7+7.8)/6/10</f>
        <v>0.94333333333333313</v>
      </c>
      <c r="BL996" s="26" t="s">
        <v>195</v>
      </c>
      <c r="CH996" s="26">
        <f>(385)/10</f>
        <v>38.5</v>
      </c>
      <c r="CI996" s="26">
        <f>(300)/10</f>
        <v>30</v>
      </c>
      <c r="CJ996" s="26" t="s">
        <v>1310</v>
      </c>
      <c r="CW996" s="26">
        <f>(84+47)/10</f>
        <v>13.1</v>
      </c>
      <c r="CX996" s="26">
        <f>(100+65)/10</f>
        <v>16.5</v>
      </c>
      <c r="CY996" s="26" t="s">
        <v>1866</v>
      </c>
      <c r="FT996" s="26">
        <v>47</v>
      </c>
    </row>
    <row r="997" spans="1:176" s="26" customFormat="1" x14ac:dyDescent="0.25">
      <c r="A997" s="26">
        <v>47</v>
      </c>
      <c r="B997" s="26" t="s">
        <v>776</v>
      </c>
      <c r="C997" s="26" t="s">
        <v>777</v>
      </c>
      <c r="D997" s="26">
        <v>2014</v>
      </c>
      <c r="E997" s="26">
        <v>2012</v>
      </c>
      <c r="F997" s="26" t="s">
        <v>778</v>
      </c>
      <c r="G997" s="26" t="s">
        <v>616</v>
      </c>
      <c r="H997" s="26">
        <v>44.31</v>
      </c>
      <c r="I997" s="75">
        <v>-96.798000000000002</v>
      </c>
      <c r="J997" s="26">
        <v>495.3</v>
      </c>
      <c r="P997" s="52">
        <v>1</v>
      </c>
      <c r="Q997" s="52"/>
      <c r="R997" s="52" t="s">
        <v>264</v>
      </c>
      <c r="S997" s="52" t="s">
        <v>1570</v>
      </c>
      <c r="T997" s="52" t="s">
        <v>1570</v>
      </c>
      <c r="U997" s="52" t="s">
        <v>1570</v>
      </c>
      <c r="V997" s="52" t="s">
        <v>1910</v>
      </c>
      <c r="W997" s="26">
        <v>1.4</v>
      </c>
      <c r="Z997" s="26" t="s">
        <v>1204</v>
      </c>
      <c r="AA997" s="26">
        <v>6.3</v>
      </c>
      <c r="AB997" s="26">
        <v>2.71</v>
      </c>
      <c r="AE997" s="26" t="s">
        <v>650</v>
      </c>
      <c r="AF997" s="152" t="s">
        <v>666</v>
      </c>
      <c r="AG997" s="26" t="s">
        <v>160</v>
      </c>
      <c r="AH997" s="154" t="s">
        <v>1791</v>
      </c>
      <c r="AI997" s="26" t="s">
        <v>779</v>
      </c>
      <c r="AJ997" s="26" t="s">
        <v>779</v>
      </c>
      <c r="AK997" s="26" t="s">
        <v>212</v>
      </c>
      <c r="AR997" s="26" t="s">
        <v>192</v>
      </c>
      <c r="AS997" s="26">
        <v>3</v>
      </c>
      <c r="AT997" s="26">
        <v>3</v>
      </c>
      <c r="AU997" s="26" t="s">
        <v>169</v>
      </c>
      <c r="AZ997" s="26" t="s">
        <v>782</v>
      </c>
      <c r="BJ997" s="26">
        <f>(8.5+10.1+12.7+9.3+7.1+5.8)/6/10</f>
        <v>0.89166666666666661</v>
      </c>
      <c r="BK997" s="26">
        <f>(8.5+11.3+13.5+10.3+8.6+7.9)/6/10</f>
        <v>1.0016666666666665</v>
      </c>
      <c r="BL997" s="26" t="s">
        <v>195</v>
      </c>
      <c r="CH997" s="26">
        <f>(291)/10</f>
        <v>29.1</v>
      </c>
      <c r="CI997" s="26">
        <f>(388)/10</f>
        <v>38.799999999999997</v>
      </c>
      <c r="CJ997" s="26" t="s">
        <v>1310</v>
      </c>
      <c r="CW997" s="26">
        <f>(193+115)/10</f>
        <v>30.8</v>
      </c>
      <c r="CX997" s="26">
        <f>(99+61)/10</f>
        <v>16</v>
      </c>
      <c r="CY997" s="26" t="s">
        <v>1866</v>
      </c>
      <c r="FT997" s="26">
        <v>47</v>
      </c>
    </row>
    <row r="998" spans="1:176" s="31" customFormat="1" x14ac:dyDescent="0.25">
      <c r="A998" s="31">
        <v>48</v>
      </c>
      <c r="B998" s="31" t="s">
        <v>783</v>
      </c>
      <c r="C998" s="31" t="s">
        <v>784</v>
      </c>
      <c r="D998" s="31">
        <v>2016</v>
      </c>
      <c r="E998" s="31">
        <v>2014</v>
      </c>
      <c r="F998" s="31" t="s">
        <v>785</v>
      </c>
      <c r="G998" s="31" t="s">
        <v>786</v>
      </c>
      <c r="H998" s="31">
        <f t="shared" ref="H998:H1013" si="224">42+5/60</f>
        <v>42.083333333333336</v>
      </c>
      <c r="I998" s="31">
        <f t="shared" ref="I998:I1013" si="225">-86-21/60</f>
        <v>-86.35</v>
      </c>
      <c r="J998" s="31">
        <v>213.2</v>
      </c>
      <c r="P998" s="56">
        <v>1</v>
      </c>
      <c r="Q998" s="56"/>
      <c r="R998" s="56"/>
      <c r="S998" s="56" t="s">
        <v>1580</v>
      </c>
      <c r="T998" s="56" t="s">
        <v>1580</v>
      </c>
      <c r="U998" s="56" t="s">
        <v>1580</v>
      </c>
      <c r="V998" s="56" t="s">
        <v>1916</v>
      </c>
      <c r="Z998" s="31" t="s">
        <v>240</v>
      </c>
      <c r="AD998" s="31" t="s">
        <v>1503</v>
      </c>
      <c r="AE998" s="31" t="s">
        <v>159</v>
      </c>
      <c r="AF998" s="152" t="s">
        <v>159</v>
      </c>
      <c r="AG998" s="31" t="s">
        <v>1780</v>
      </c>
      <c r="AH998" s="155" t="s">
        <v>267</v>
      </c>
      <c r="AL998" s="31" t="s">
        <v>789</v>
      </c>
      <c r="AM998" s="31" t="s">
        <v>789</v>
      </c>
      <c r="AN998" s="31" t="s">
        <v>212</v>
      </c>
      <c r="AO998" s="31" t="s">
        <v>787</v>
      </c>
      <c r="AP998" s="31" t="s">
        <v>787</v>
      </c>
      <c r="AQ998" s="31" t="s">
        <v>212</v>
      </c>
      <c r="AR998" s="31" t="s">
        <v>192</v>
      </c>
      <c r="AS998" s="31">
        <v>6</v>
      </c>
      <c r="AT998" s="31">
        <v>6</v>
      </c>
      <c r="AU998" s="31" t="s">
        <v>379</v>
      </c>
      <c r="AY998" s="31" t="s">
        <v>788</v>
      </c>
      <c r="AZ998" s="31" t="s">
        <v>791</v>
      </c>
      <c r="EA998" s="31">
        <f>(1.3+1.9+4.7)/3</f>
        <v>2.6333333333333333</v>
      </c>
      <c r="EB998" s="31">
        <f>(1.03+1.026+2.54)/3</f>
        <v>1.532</v>
      </c>
      <c r="EC998" s="31" t="s">
        <v>799</v>
      </c>
      <c r="FR998" s="31" t="s">
        <v>826</v>
      </c>
      <c r="FT998" s="31">
        <v>48</v>
      </c>
    </row>
    <row r="999" spans="1:176" s="31" customFormat="1" x14ac:dyDescent="0.25">
      <c r="A999" s="31">
        <v>48</v>
      </c>
      <c r="B999" s="31" t="s">
        <v>783</v>
      </c>
      <c r="C999" s="31" t="s">
        <v>784</v>
      </c>
      <c r="D999" s="31">
        <v>2016</v>
      </c>
      <c r="E999" s="31">
        <v>2014</v>
      </c>
      <c r="F999" s="31" t="s">
        <v>785</v>
      </c>
      <c r="G999" s="31" t="s">
        <v>786</v>
      </c>
      <c r="H999" s="31">
        <f t="shared" si="224"/>
        <v>42.083333333333336</v>
      </c>
      <c r="I999" s="31">
        <f t="shared" si="225"/>
        <v>-86.35</v>
      </c>
      <c r="J999" s="31">
        <v>213.2</v>
      </c>
      <c r="P999" s="56">
        <v>1</v>
      </c>
      <c r="Q999" s="56"/>
      <c r="R999" s="56"/>
      <c r="S999" s="56" t="s">
        <v>1580</v>
      </c>
      <c r="T999" s="56" t="s">
        <v>1580</v>
      </c>
      <c r="U999" s="56" t="s">
        <v>1580</v>
      </c>
      <c r="V999" s="56" t="s">
        <v>1916</v>
      </c>
      <c r="Z999" s="31" t="s">
        <v>240</v>
      </c>
      <c r="AD999" s="31" t="s">
        <v>1503</v>
      </c>
      <c r="AE999" s="31" t="s">
        <v>159</v>
      </c>
      <c r="AF999" s="152" t="s">
        <v>159</v>
      </c>
      <c r="AG999" s="31" t="s">
        <v>1780</v>
      </c>
      <c r="AH999" s="155" t="s">
        <v>267</v>
      </c>
      <c r="AL999" s="31" t="s">
        <v>790</v>
      </c>
      <c r="AM999" s="31" t="s">
        <v>790</v>
      </c>
      <c r="AN999" s="31" t="s">
        <v>212</v>
      </c>
      <c r="AO999" s="31" t="s">
        <v>787</v>
      </c>
      <c r="AP999" s="31" t="s">
        <v>787</v>
      </c>
      <c r="AQ999" s="31" t="s">
        <v>212</v>
      </c>
      <c r="AR999" s="31" t="s">
        <v>192</v>
      </c>
      <c r="AS999" s="31">
        <v>6</v>
      </c>
      <c r="AT999" s="31">
        <v>6</v>
      </c>
      <c r="AU999" s="31" t="s">
        <v>379</v>
      </c>
      <c r="AY999" s="31" t="s">
        <v>788</v>
      </c>
      <c r="AZ999" s="31" t="s">
        <v>791</v>
      </c>
      <c r="EA999" s="31">
        <f>(1.92+2.38+5.5)/3</f>
        <v>3.2666666666666671</v>
      </c>
      <c r="EB999" s="31">
        <f>(2.58+1.69+3.03)/3</f>
        <v>2.4333333333333331</v>
      </c>
      <c r="EC999" s="31" t="s">
        <v>799</v>
      </c>
      <c r="FR999" s="31" t="s">
        <v>826</v>
      </c>
      <c r="FT999" s="31">
        <v>48</v>
      </c>
    </row>
    <row r="1000" spans="1:176" s="38" customFormat="1" x14ac:dyDescent="0.25">
      <c r="A1000" s="38">
        <v>48</v>
      </c>
      <c r="B1000" s="38" t="s">
        <v>783</v>
      </c>
      <c r="C1000" s="38" t="s">
        <v>784</v>
      </c>
      <c r="D1000" s="38">
        <v>2016</v>
      </c>
      <c r="E1000" s="38">
        <v>2014</v>
      </c>
      <c r="F1000" s="38" t="s">
        <v>785</v>
      </c>
      <c r="G1000" s="38" t="s">
        <v>786</v>
      </c>
      <c r="H1000" s="38">
        <f t="shared" si="224"/>
        <v>42.083333333333336</v>
      </c>
      <c r="I1000" s="38">
        <f t="shared" si="225"/>
        <v>-86.35</v>
      </c>
      <c r="J1000" s="38">
        <v>213.2</v>
      </c>
      <c r="P1000" s="57">
        <v>1</v>
      </c>
      <c r="Q1000" s="57"/>
      <c r="R1000" s="57"/>
      <c r="S1000" s="57" t="s">
        <v>1580</v>
      </c>
      <c r="T1000" s="57" t="s">
        <v>1580</v>
      </c>
      <c r="U1000" s="57" t="s">
        <v>1580</v>
      </c>
      <c r="V1000" s="57" t="s">
        <v>1916</v>
      </c>
      <c r="Z1000" s="38" t="s">
        <v>240</v>
      </c>
      <c r="AD1000" s="38" t="s">
        <v>1503</v>
      </c>
      <c r="AE1000" s="38" t="s">
        <v>159</v>
      </c>
      <c r="AF1000" s="152" t="s">
        <v>159</v>
      </c>
      <c r="AG1000" s="38" t="s">
        <v>1780</v>
      </c>
      <c r="AH1000" s="155" t="s">
        <v>267</v>
      </c>
      <c r="AL1000" s="38" t="s">
        <v>789</v>
      </c>
      <c r="AM1000" s="38" t="s">
        <v>789</v>
      </c>
      <c r="AN1000" s="38" t="s">
        <v>212</v>
      </c>
      <c r="AO1000" s="38" t="s">
        <v>787</v>
      </c>
      <c r="AP1000" s="38" t="s">
        <v>787</v>
      </c>
      <c r="AQ1000" s="38" t="s">
        <v>212</v>
      </c>
      <c r="AR1000" s="38" t="s">
        <v>192</v>
      </c>
      <c r="AS1000" s="38">
        <v>6</v>
      </c>
      <c r="AT1000" s="38">
        <v>6</v>
      </c>
      <c r="AU1000" s="38" t="s">
        <v>379</v>
      </c>
      <c r="AY1000" s="38" t="s">
        <v>788</v>
      </c>
      <c r="AZ1000" s="38" t="s">
        <v>792</v>
      </c>
      <c r="EA1000" s="38">
        <f>(0.6+1.19+3.93)/3</f>
        <v>1.906666666666667</v>
      </c>
      <c r="EB1000" s="38">
        <f>(0.3+0.46+1.27)/3</f>
        <v>0.67666666666666675</v>
      </c>
      <c r="EC1000" s="38" t="s">
        <v>799</v>
      </c>
      <c r="FR1000" s="38" t="s">
        <v>826</v>
      </c>
      <c r="FT1000" s="38">
        <v>48</v>
      </c>
    </row>
    <row r="1001" spans="1:176" s="38" customFormat="1" x14ac:dyDescent="0.25">
      <c r="A1001" s="38">
        <v>48</v>
      </c>
      <c r="B1001" s="38" t="s">
        <v>783</v>
      </c>
      <c r="C1001" s="38" t="s">
        <v>784</v>
      </c>
      <c r="D1001" s="38">
        <v>2016</v>
      </c>
      <c r="E1001" s="38">
        <v>2014</v>
      </c>
      <c r="F1001" s="38" t="s">
        <v>785</v>
      </c>
      <c r="G1001" s="38" t="s">
        <v>786</v>
      </c>
      <c r="H1001" s="38">
        <f t="shared" si="224"/>
        <v>42.083333333333336</v>
      </c>
      <c r="I1001" s="38">
        <f t="shared" si="225"/>
        <v>-86.35</v>
      </c>
      <c r="J1001" s="38">
        <v>213.2</v>
      </c>
      <c r="P1001" s="57">
        <v>1</v>
      </c>
      <c r="Q1001" s="57"/>
      <c r="R1001" s="57"/>
      <c r="S1001" s="57" t="s">
        <v>1580</v>
      </c>
      <c r="T1001" s="57" t="s">
        <v>1580</v>
      </c>
      <c r="U1001" s="57" t="s">
        <v>1580</v>
      </c>
      <c r="V1001" s="57" t="s">
        <v>1916</v>
      </c>
      <c r="Z1001" s="38" t="s">
        <v>240</v>
      </c>
      <c r="AD1001" s="38" t="s">
        <v>1503</v>
      </c>
      <c r="AE1001" s="38" t="s">
        <v>159</v>
      </c>
      <c r="AF1001" s="152" t="s">
        <v>159</v>
      </c>
      <c r="AG1001" s="38" t="s">
        <v>1780</v>
      </c>
      <c r="AH1001" s="155" t="s">
        <v>267</v>
      </c>
      <c r="AL1001" s="38" t="s">
        <v>790</v>
      </c>
      <c r="AM1001" s="38" t="s">
        <v>790</v>
      </c>
      <c r="AN1001" s="38" t="s">
        <v>212</v>
      </c>
      <c r="AO1001" s="38" t="s">
        <v>787</v>
      </c>
      <c r="AP1001" s="38" t="s">
        <v>787</v>
      </c>
      <c r="AQ1001" s="38" t="s">
        <v>212</v>
      </c>
      <c r="AR1001" s="38" t="s">
        <v>192</v>
      </c>
      <c r="AS1001" s="38">
        <v>6</v>
      </c>
      <c r="AT1001" s="38">
        <v>6</v>
      </c>
      <c r="AU1001" s="38" t="s">
        <v>379</v>
      </c>
      <c r="AY1001" s="38" t="s">
        <v>788</v>
      </c>
      <c r="AZ1001" s="38" t="s">
        <v>792</v>
      </c>
      <c r="EA1001" s="38">
        <f>(0.55+1.16+3.96)/3</f>
        <v>1.89</v>
      </c>
      <c r="EB1001" s="38">
        <f>(0.48+0.48+2.75)/3</f>
        <v>1.2366666666666666</v>
      </c>
      <c r="EC1001" s="38" t="s">
        <v>799</v>
      </c>
      <c r="FR1001" s="38" t="s">
        <v>826</v>
      </c>
      <c r="FT1001" s="38">
        <v>48</v>
      </c>
    </row>
    <row r="1002" spans="1:176" s="31" customFormat="1" x14ac:dyDescent="0.25">
      <c r="A1002" s="31">
        <v>48</v>
      </c>
      <c r="B1002" s="31" t="s">
        <v>783</v>
      </c>
      <c r="C1002" s="31" t="s">
        <v>784</v>
      </c>
      <c r="D1002" s="31">
        <v>2016</v>
      </c>
      <c r="E1002" s="31">
        <v>2014</v>
      </c>
      <c r="F1002" s="31" t="s">
        <v>785</v>
      </c>
      <c r="G1002" s="31" t="s">
        <v>786</v>
      </c>
      <c r="H1002" s="31">
        <f t="shared" si="224"/>
        <v>42.083333333333336</v>
      </c>
      <c r="I1002" s="31">
        <f t="shared" si="225"/>
        <v>-86.35</v>
      </c>
      <c r="J1002" s="31">
        <v>213.2</v>
      </c>
      <c r="P1002" s="56">
        <v>1</v>
      </c>
      <c r="Q1002" s="56"/>
      <c r="R1002" s="56"/>
      <c r="S1002" s="56" t="s">
        <v>1580</v>
      </c>
      <c r="T1002" s="56" t="s">
        <v>1580</v>
      </c>
      <c r="U1002" s="56" t="s">
        <v>1580</v>
      </c>
      <c r="V1002" s="56" t="s">
        <v>1916</v>
      </c>
      <c r="Z1002" s="31" t="s">
        <v>240</v>
      </c>
      <c r="AD1002" s="31" t="s">
        <v>1503</v>
      </c>
      <c r="AE1002" s="31" t="s">
        <v>159</v>
      </c>
      <c r="AF1002" s="152" t="s">
        <v>159</v>
      </c>
      <c r="AG1002" s="31" t="s">
        <v>1780</v>
      </c>
      <c r="AH1002" s="155" t="s">
        <v>267</v>
      </c>
      <c r="AL1002" s="31" t="s">
        <v>789</v>
      </c>
      <c r="AM1002" s="31" t="s">
        <v>789</v>
      </c>
      <c r="AN1002" s="31" t="s">
        <v>212</v>
      </c>
      <c r="AO1002" s="31" t="s">
        <v>787</v>
      </c>
      <c r="AP1002" s="31" t="s">
        <v>787</v>
      </c>
      <c r="AQ1002" s="31" t="s">
        <v>212</v>
      </c>
      <c r="AR1002" s="31" t="s">
        <v>192</v>
      </c>
      <c r="AS1002" s="31">
        <v>6</v>
      </c>
      <c r="AT1002" s="31">
        <v>6</v>
      </c>
      <c r="AU1002" s="31" t="s">
        <v>379</v>
      </c>
      <c r="AY1002" s="31" t="s">
        <v>788</v>
      </c>
      <c r="AZ1002" s="31" t="s">
        <v>793</v>
      </c>
      <c r="EA1002" s="31">
        <f>(4.54+9.44+4.55)/3</f>
        <v>6.1766666666666667</v>
      </c>
      <c r="EB1002" s="31">
        <f>(5.5+7.12+8.54)/3</f>
        <v>7.0533333333333337</v>
      </c>
      <c r="EC1002" s="31" t="s">
        <v>799</v>
      </c>
      <c r="FR1002" s="31" t="s">
        <v>826</v>
      </c>
      <c r="FT1002" s="31">
        <v>48</v>
      </c>
    </row>
    <row r="1003" spans="1:176" s="31" customFormat="1" x14ac:dyDescent="0.25">
      <c r="A1003" s="31">
        <v>48</v>
      </c>
      <c r="B1003" s="31" t="s">
        <v>783</v>
      </c>
      <c r="C1003" s="31" t="s">
        <v>784</v>
      </c>
      <c r="D1003" s="31">
        <v>2016</v>
      </c>
      <c r="E1003" s="31">
        <v>2014</v>
      </c>
      <c r="F1003" s="31" t="s">
        <v>785</v>
      </c>
      <c r="G1003" s="31" t="s">
        <v>786</v>
      </c>
      <c r="H1003" s="31">
        <f t="shared" si="224"/>
        <v>42.083333333333336</v>
      </c>
      <c r="I1003" s="31">
        <f t="shared" si="225"/>
        <v>-86.35</v>
      </c>
      <c r="J1003" s="31">
        <v>213.2</v>
      </c>
      <c r="P1003" s="56">
        <v>1</v>
      </c>
      <c r="Q1003" s="56"/>
      <c r="R1003" s="56"/>
      <c r="S1003" s="56" t="s">
        <v>1580</v>
      </c>
      <c r="T1003" s="56" t="s">
        <v>1580</v>
      </c>
      <c r="U1003" s="56" t="s">
        <v>1580</v>
      </c>
      <c r="V1003" s="56" t="s">
        <v>1916</v>
      </c>
      <c r="Z1003" s="31" t="s">
        <v>240</v>
      </c>
      <c r="AD1003" s="31" t="s">
        <v>1503</v>
      </c>
      <c r="AE1003" s="31" t="s">
        <v>159</v>
      </c>
      <c r="AF1003" s="152" t="s">
        <v>159</v>
      </c>
      <c r="AG1003" s="31" t="s">
        <v>1780</v>
      </c>
      <c r="AH1003" s="155" t="s">
        <v>267</v>
      </c>
      <c r="AL1003" s="31" t="s">
        <v>790</v>
      </c>
      <c r="AM1003" s="31" t="s">
        <v>790</v>
      </c>
      <c r="AN1003" s="31" t="s">
        <v>212</v>
      </c>
      <c r="AO1003" s="31" t="s">
        <v>787</v>
      </c>
      <c r="AP1003" s="31" t="s">
        <v>787</v>
      </c>
      <c r="AQ1003" s="31" t="s">
        <v>212</v>
      </c>
      <c r="AR1003" s="31" t="s">
        <v>192</v>
      </c>
      <c r="AS1003" s="31">
        <v>6</v>
      </c>
      <c r="AT1003" s="31">
        <v>6</v>
      </c>
      <c r="AU1003" s="31" t="s">
        <v>379</v>
      </c>
      <c r="AY1003" s="31" t="s">
        <v>788</v>
      </c>
      <c r="AZ1003" s="31" t="s">
        <v>793</v>
      </c>
      <c r="EA1003" s="31">
        <f>(7.52+10.35+5.91)/3</f>
        <v>7.9266666666666659</v>
      </c>
      <c r="EB1003" s="31">
        <f>(4.49+10.45+3.49)/3</f>
        <v>6.1433333333333335</v>
      </c>
      <c r="EC1003" s="31" t="s">
        <v>799</v>
      </c>
      <c r="FR1003" s="31" t="s">
        <v>826</v>
      </c>
      <c r="FT1003" s="31">
        <v>48</v>
      </c>
    </row>
    <row r="1004" spans="1:176" s="38" customFormat="1" x14ac:dyDescent="0.25">
      <c r="A1004" s="38">
        <v>48</v>
      </c>
      <c r="B1004" s="38" t="s">
        <v>783</v>
      </c>
      <c r="C1004" s="38" t="s">
        <v>784</v>
      </c>
      <c r="D1004" s="38">
        <v>2016</v>
      </c>
      <c r="E1004" s="38">
        <v>2014</v>
      </c>
      <c r="F1004" s="38" t="s">
        <v>785</v>
      </c>
      <c r="G1004" s="38" t="s">
        <v>786</v>
      </c>
      <c r="H1004" s="38">
        <f t="shared" si="224"/>
        <v>42.083333333333336</v>
      </c>
      <c r="I1004" s="38">
        <f t="shared" si="225"/>
        <v>-86.35</v>
      </c>
      <c r="J1004" s="38">
        <v>213.2</v>
      </c>
      <c r="P1004" s="57">
        <v>1</v>
      </c>
      <c r="Q1004" s="57"/>
      <c r="R1004" s="57"/>
      <c r="S1004" s="57" t="s">
        <v>1580</v>
      </c>
      <c r="T1004" s="57" t="s">
        <v>1580</v>
      </c>
      <c r="U1004" s="57" t="s">
        <v>1580</v>
      </c>
      <c r="V1004" s="57" t="s">
        <v>1916</v>
      </c>
      <c r="Z1004" s="38" t="s">
        <v>240</v>
      </c>
      <c r="AD1004" s="38" t="s">
        <v>1503</v>
      </c>
      <c r="AE1004" s="38" t="s">
        <v>159</v>
      </c>
      <c r="AF1004" s="152" t="s">
        <v>159</v>
      </c>
      <c r="AG1004" s="38" t="s">
        <v>1780</v>
      </c>
      <c r="AH1004" s="155" t="s">
        <v>267</v>
      </c>
      <c r="AL1004" s="38" t="s">
        <v>789</v>
      </c>
      <c r="AM1004" s="38" t="s">
        <v>789</v>
      </c>
      <c r="AN1004" s="38" t="s">
        <v>212</v>
      </c>
      <c r="AO1004" s="38" t="s">
        <v>787</v>
      </c>
      <c r="AP1004" s="38" t="s">
        <v>787</v>
      </c>
      <c r="AQ1004" s="38" t="s">
        <v>212</v>
      </c>
      <c r="AR1004" s="38" t="s">
        <v>192</v>
      </c>
      <c r="AS1004" s="38">
        <v>6</v>
      </c>
      <c r="AT1004" s="38">
        <v>6</v>
      </c>
      <c r="AU1004" s="38" t="s">
        <v>379</v>
      </c>
      <c r="AY1004" s="38" t="s">
        <v>788</v>
      </c>
      <c r="AZ1004" s="38" t="s">
        <v>794</v>
      </c>
      <c r="EA1004" s="38">
        <f>(1.1+1.93+0.55)/3</f>
        <v>1.1933333333333334</v>
      </c>
      <c r="EB1004" s="38">
        <f>(2.2+1.55+1.03)/3</f>
        <v>1.5933333333333335</v>
      </c>
      <c r="EC1004" s="38" t="s">
        <v>799</v>
      </c>
      <c r="FR1004" s="38" t="s">
        <v>826</v>
      </c>
      <c r="FT1004" s="38">
        <v>48</v>
      </c>
    </row>
    <row r="1005" spans="1:176" s="38" customFormat="1" x14ac:dyDescent="0.25">
      <c r="A1005" s="38">
        <v>48</v>
      </c>
      <c r="B1005" s="38" t="s">
        <v>783</v>
      </c>
      <c r="C1005" s="38" t="s">
        <v>784</v>
      </c>
      <c r="D1005" s="38">
        <v>2016</v>
      </c>
      <c r="E1005" s="38">
        <v>2014</v>
      </c>
      <c r="F1005" s="38" t="s">
        <v>785</v>
      </c>
      <c r="G1005" s="38" t="s">
        <v>786</v>
      </c>
      <c r="H1005" s="38">
        <f t="shared" si="224"/>
        <v>42.083333333333336</v>
      </c>
      <c r="I1005" s="38">
        <f t="shared" si="225"/>
        <v>-86.35</v>
      </c>
      <c r="J1005" s="38">
        <v>213.2</v>
      </c>
      <c r="P1005" s="57">
        <v>1</v>
      </c>
      <c r="Q1005" s="57"/>
      <c r="R1005" s="57"/>
      <c r="S1005" s="57" t="s">
        <v>1580</v>
      </c>
      <c r="T1005" s="57" t="s">
        <v>1580</v>
      </c>
      <c r="U1005" s="57" t="s">
        <v>1580</v>
      </c>
      <c r="V1005" s="57" t="s">
        <v>1916</v>
      </c>
      <c r="Z1005" s="38" t="s">
        <v>240</v>
      </c>
      <c r="AD1005" s="38" t="s">
        <v>1503</v>
      </c>
      <c r="AE1005" s="38" t="s">
        <v>159</v>
      </c>
      <c r="AF1005" s="152" t="s">
        <v>159</v>
      </c>
      <c r="AG1005" s="38" t="s">
        <v>1780</v>
      </c>
      <c r="AH1005" s="155" t="s">
        <v>267</v>
      </c>
      <c r="AL1005" s="38" t="s">
        <v>790</v>
      </c>
      <c r="AM1005" s="38" t="s">
        <v>790</v>
      </c>
      <c r="AN1005" s="38" t="s">
        <v>212</v>
      </c>
      <c r="AO1005" s="38" t="s">
        <v>787</v>
      </c>
      <c r="AP1005" s="38" t="s">
        <v>787</v>
      </c>
      <c r="AQ1005" s="38" t="s">
        <v>212</v>
      </c>
      <c r="AR1005" s="38" t="s">
        <v>192</v>
      </c>
      <c r="AS1005" s="38">
        <v>6</v>
      </c>
      <c r="AT1005" s="38">
        <v>6</v>
      </c>
      <c r="AU1005" s="38" t="s">
        <v>379</v>
      </c>
      <c r="AY1005" s="38" t="s">
        <v>788</v>
      </c>
      <c r="AZ1005" s="38" t="s">
        <v>794</v>
      </c>
      <c r="EA1005" s="38">
        <f>(1.1+1.19+0.67)/3</f>
        <v>0.98666666666666669</v>
      </c>
      <c r="EB1005" s="38">
        <f>(1.21+0.93+0.9)/3</f>
        <v>1.0133333333333334</v>
      </c>
      <c r="EC1005" s="38" t="s">
        <v>799</v>
      </c>
      <c r="FR1005" s="38" t="s">
        <v>826</v>
      </c>
      <c r="FT1005" s="38">
        <v>48</v>
      </c>
    </row>
    <row r="1006" spans="1:176" s="76" customFormat="1" x14ac:dyDescent="0.25">
      <c r="A1006" s="76">
        <v>48</v>
      </c>
      <c r="B1006" s="76" t="s">
        <v>783</v>
      </c>
      <c r="C1006" s="76" t="s">
        <v>784</v>
      </c>
      <c r="D1006" s="76">
        <v>2016</v>
      </c>
      <c r="E1006" s="76">
        <v>2015</v>
      </c>
      <c r="F1006" s="76" t="s">
        <v>785</v>
      </c>
      <c r="G1006" s="76" t="s">
        <v>786</v>
      </c>
      <c r="H1006" s="76">
        <f t="shared" si="224"/>
        <v>42.083333333333336</v>
      </c>
      <c r="I1006" s="76">
        <f t="shared" si="225"/>
        <v>-86.35</v>
      </c>
      <c r="J1006" s="76">
        <v>213.2</v>
      </c>
      <c r="P1006" s="77">
        <v>2</v>
      </c>
      <c r="Q1006" s="77"/>
      <c r="R1006" s="77"/>
      <c r="S1006" s="77" t="s">
        <v>1580</v>
      </c>
      <c r="T1006" s="77" t="s">
        <v>1580</v>
      </c>
      <c r="U1006" s="77" t="s">
        <v>1580</v>
      </c>
      <c r="V1006" s="56" t="s">
        <v>1916</v>
      </c>
      <c r="Z1006" s="76" t="s">
        <v>240</v>
      </c>
      <c r="AD1006" s="31" t="s">
        <v>1503</v>
      </c>
      <c r="AE1006" s="76" t="s">
        <v>159</v>
      </c>
      <c r="AF1006" s="152" t="s">
        <v>159</v>
      </c>
      <c r="AG1006" s="76" t="s">
        <v>1780</v>
      </c>
      <c r="AH1006" s="157" t="s">
        <v>267</v>
      </c>
      <c r="AL1006" s="76" t="s">
        <v>789</v>
      </c>
      <c r="AM1006" s="76" t="s">
        <v>789</v>
      </c>
      <c r="AN1006" s="76" t="s">
        <v>212</v>
      </c>
      <c r="AO1006" s="76" t="s">
        <v>787</v>
      </c>
      <c r="AP1006" s="76" t="s">
        <v>787</v>
      </c>
      <c r="AQ1006" s="76" t="s">
        <v>212</v>
      </c>
      <c r="AR1006" s="76" t="s">
        <v>192</v>
      </c>
      <c r="AS1006" s="76">
        <v>6</v>
      </c>
      <c r="AT1006" s="76">
        <v>6</v>
      </c>
      <c r="AU1006" s="76" t="s">
        <v>379</v>
      </c>
      <c r="AY1006" s="76" t="s">
        <v>788</v>
      </c>
      <c r="AZ1006" s="76" t="s">
        <v>795</v>
      </c>
      <c r="EA1006" s="76">
        <f>(1.19+2.25+4.6)/3</f>
        <v>2.6799999999999997</v>
      </c>
      <c r="EB1006" s="76">
        <f>(0.81+3.51+6.17)/3</f>
        <v>3.4966666666666666</v>
      </c>
      <c r="EC1006" s="31" t="s">
        <v>799</v>
      </c>
      <c r="ED1006" s="31"/>
      <c r="EE1006" s="31"/>
      <c r="EF1006" s="31"/>
      <c r="EG1006" s="31"/>
      <c r="EH1006" s="31"/>
      <c r="EI1006" s="31"/>
      <c r="FR1006" s="31" t="s">
        <v>826</v>
      </c>
      <c r="FT1006" s="76">
        <v>48</v>
      </c>
    </row>
    <row r="1007" spans="1:176" s="76" customFormat="1" x14ac:dyDescent="0.25">
      <c r="A1007" s="76">
        <v>48</v>
      </c>
      <c r="B1007" s="76" t="s">
        <v>783</v>
      </c>
      <c r="C1007" s="76" t="s">
        <v>784</v>
      </c>
      <c r="D1007" s="76">
        <v>2016</v>
      </c>
      <c r="E1007" s="76">
        <v>2015</v>
      </c>
      <c r="F1007" s="76" t="s">
        <v>785</v>
      </c>
      <c r="G1007" s="76" t="s">
        <v>786</v>
      </c>
      <c r="H1007" s="76">
        <f t="shared" si="224"/>
        <v>42.083333333333336</v>
      </c>
      <c r="I1007" s="76">
        <f t="shared" si="225"/>
        <v>-86.35</v>
      </c>
      <c r="J1007" s="76">
        <v>213.2</v>
      </c>
      <c r="P1007" s="77">
        <v>2</v>
      </c>
      <c r="Q1007" s="77"/>
      <c r="R1007" s="77"/>
      <c r="S1007" s="77" t="s">
        <v>1580</v>
      </c>
      <c r="T1007" s="77" t="s">
        <v>1580</v>
      </c>
      <c r="U1007" s="77" t="s">
        <v>1580</v>
      </c>
      <c r="V1007" s="56" t="s">
        <v>1916</v>
      </c>
      <c r="Z1007" s="76" t="s">
        <v>240</v>
      </c>
      <c r="AD1007" s="31" t="s">
        <v>1503</v>
      </c>
      <c r="AE1007" s="76" t="s">
        <v>159</v>
      </c>
      <c r="AF1007" s="152" t="s">
        <v>159</v>
      </c>
      <c r="AG1007" s="76" t="s">
        <v>1780</v>
      </c>
      <c r="AH1007" s="157" t="s">
        <v>267</v>
      </c>
      <c r="AL1007" s="76" t="s">
        <v>790</v>
      </c>
      <c r="AM1007" s="76" t="s">
        <v>790</v>
      </c>
      <c r="AN1007" s="76" t="s">
        <v>212</v>
      </c>
      <c r="AO1007" s="76" t="s">
        <v>787</v>
      </c>
      <c r="AP1007" s="76" t="s">
        <v>787</v>
      </c>
      <c r="AQ1007" s="76" t="s">
        <v>212</v>
      </c>
      <c r="AR1007" s="76" t="s">
        <v>192</v>
      </c>
      <c r="AS1007" s="76">
        <v>6</v>
      </c>
      <c r="AT1007" s="76">
        <v>6</v>
      </c>
      <c r="AU1007" s="76" t="s">
        <v>379</v>
      </c>
      <c r="AY1007" s="76" t="s">
        <v>788</v>
      </c>
      <c r="AZ1007" s="76" t="s">
        <v>795</v>
      </c>
      <c r="EA1007" s="76">
        <f>(3.81+2.16+5.86)/3</f>
        <v>3.9433333333333338</v>
      </c>
      <c r="EB1007" s="76">
        <f>(3.86+3.28+5.63)/3</f>
        <v>4.2566666666666668</v>
      </c>
      <c r="EC1007" s="31" t="s">
        <v>799</v>
      </c>
      <c r="ED1007" s="31"/>
      <c r="EE1007" s="31"/>
      <c r="EF1007" s="31"/>
      <c r="EG1007" s="31"/>
      <c r="EH1007" s="31"/>
      <c r="EI1007" s="31"/>
      <c r="FR1007" s="31" t="s">
        <v>826</v>
      </c>
      <c r="FT1007" s="76">
        <v>48</v>
      </c>
    </row>
    <row r="1008" spans="1:176" s="78" customFormat="1" x14ac:dyDescent="0.25">
      <c r="A1008" s="78">
        <v>48</v>
      </c>
      <c r="B1008" s="78" t="s">
        <v>783</v>
      </c>
      <c r="C1008" s="78" t="s">
        <v>784</v>
      </c>
      <c r="D1008" s="78">
        <v>2016</v>
      </c>
      <c r="E1008" s="78">
        <v>2015</v>
      </c>
      <c r="F1008" s="78" t="s">
        <v>785</v>
      </c>
      <c r="G1008" s="78" t="s">
        <v>786</v>
      </c>
      <c r="H1008" s="78">
        <f t="shared" si="224"/>
        <v>42.083333333333336</v>
      </c>
      <c r="I1008" s="78">
        <f t="shared" si="225"/>
        <v>-86.35</v>
      </c>
      <c r="J1008" s="78">
        <v>213.2</v>
      </c>
      <c r="P1008" s="79">
        <v>2</v>
      </c>
      <c r="Q1008" s="79"/>
      <c r="R1008" s="79"/>
      <c r="S1008" s="79" t="s">
        <v>1580</v>
      </c>
      <c r="T1008" s="79" t="s">
        <v>1580</v>
      </c>
      <c r="U1008" s="79" t="s">
        <v>1580</v>
      </c>
      <c r="V1008" s="57" t="s">
        <v>1916</v>
      </c>
      <c r="Z1008" s="78" t="s">
        <v>240</v>
      </c>
      <c r="AD1008" s="38" t="s">
        <v>1503</v>
      </c>
      <c r="AE1008" s="78" t="s">
        <v>159</v>
      </c>
      <c r="AF1008" s="152" t="s">
        <v>159</v>
      </c>
      <c r="AG1008" s="78" t="s">
        <v>1780</v>
      </c>
      <c r="AH1008" s="157" t="s">
        <v>267</v>
      </c>
      <c r="AL1008" s="78" t="s">
        <v>789</v>
      </c>
      <c r="AM1008" s="78" t="s">
        <v>789</v>
      </c>
      <c r="AN1008" s="78" t="s">
        <v>212</v>
      </c>
      <c r="AO1008" s="78" t="s">
        <v>787</v>
      </c>
      <c r="AP1008" s="78" t="s">
        <v>787</v>
      </c>
      <c r="AQ1008" s="78" t="s">
        <v>212</v>
      </c>
      <c r="AR1008" s="78" t="s">
        <v>192</v>
      </c>
      <c r="AS1008" s="78">
        <v>6</v>
      </c>
      <c r="AT1008" s="78">
        <v>6</v>
      </c>
      <c r="AU1008" s="78" t="s">
        <v>379</v>
      </c>
      <c r="AY1008" s="78" t="s">
        <v>788</v>
      </c>
      <c r="AZ1008" s="78" t="s">
        <v>796</v>
      </c>
      <c r="EA1008" s="78">
        <f>(0.08+1.55+3.77)/3</f>
        <v>1.8</v>
      </c>
      <c r="EB1008" s="78">
        <f>(0.27+3.04+5.56)/3</f>
        <v>2.9566666666666666</v>
      </c>
      <c r="EC1008" s="38" t="s">
        <v>799</v>
      </c>
      <c r="ED1008" s="38"/>
      <c r="EE1008" s="38"/>
      <c r="EF1008" s="38"/>
      <c r="EG1008" s="38"/>
      <c r="EH1008" s="38"/>
      <c r="EI1008" s="38"/>
      <c r="FR1008" s="38" t="s">
        <v>826</v>
      </c>
      <c r="FT1008" s="78">
        <v>48</v>
      </c>
    </row>
    <row r="1009" spans="1:176" s="78" customFormat="1" x14ac:dyDescent="0.25">
      <c r="A1009" s="78">
        <v>48</v>
      </c>
      <c r="B1009" s="78" t="s">
        <v>783</v>
      </c>
      <c r="C1009" s="78" t="s">
        <v>784</v>
      </c>
      <c r="D1009" s="78">
        <v>2016</v>
      </c>
      <c r="E1009" s="78">
        <v>2015</v>
      </c>
      <c r="F1009" s="78" t="s">
        <v>785</v>
      </c>
      <c r="G1009" s="78" t="s">
        <v>786</v>
      </c>
      <c r="H1009" s="78">
        <f t="shared" si="224"/>
        <v>42.083333333333336</v>
      </c>
      <c r="I1009" s="78">
        <f t="shared" si="225"/>
        <v>-86.35</v>
      </c>
      <c r="J1009" s="78">
        <v>213.2</v>
      </c>
      <c r="P1009" s="79">
        <v>2</v>
      </c>
      <c r="Q1009" s="79"/>
      <c r="R1009" s="79"/>
      <c r="S1009" s="79" t="s">
        <v>1580</v>
      </c>
      <c r="T1009" s="79" t="s">
        <v>1580</v>
      </c>
      <c r="U1009" s="79" t="s">
        <v>1580</v>
      </c>
      <c r="V1009" s="57" t="s">
        <v>1916</v>
      </c>
      <c r="Z1009" s="78" t="s">
        <v>240</v>
      </c>
      <c r="AD1009" s="38" t="s">
        <v>1503</v>
      </c>
      <c r="AE1009" s="78" t="s">
        <v>159</v>
      </c>
      <c r="AF1009" s="152" t="s">
        <v>159</v>
      </c>
      <c r="AG1009" s="78" t="s">
        <v>1780</v>
      </c>
      <c r="AH1009" s="157" t="s">
        <v>267</v>
      </c>
      <c r="AL1009" s="78" t="s">
        <v>790</v>
      </c>
      <c r="AM1009" s="78" t="s">
        <v>790</v>
      </c>
      <c r="AN1009" s="78" t="s">
        <v>212</v>
      </c>
      <c r="AO1009" s="78" t="s">
        <v>787</v>
      </c>
      <c r="AP1009" s="78" t="s">
        <v>787</v>
      </c>
      <c r="AQ1009" s="78" t="s">
        <v>212</v>
      </c>
      <c r="AR1009" s="78" t="s">
        <v>192</v>
      </c>
      <c r="AS1009" s="78">
        <v>6</v>
      </c>
      <c r="AT1009" s="78">
        <v>6</v>
      </c>
      <c r="AU1009" s="78" t="s">
        <v>379</v>
      </c>
      <c r="AY1009" s="78" t="s">
        <v>788</v>
      </c>
      <c r="AZ1009" s="78" t="s">
        <v>796</v>
      </c>
      <c r="EA1009" s="78">
        <f>(0.06+1.6+3.82)/3</f>
        <v>1.8266666666666669</v>
      </c>
      <c r="EB1009" s="78">
        <f>(0.37+1.78+4.98)/3</f>
        <v>2.3766666666666669</v>
      </c>
      <c r="EC1009" s="38" t="s">
        <v>799</v>
      </c>
      <c r="ED1009" s="38"/>
      <c r="EE1009" s="38"/>
      <c r="EF1009" s="38"/>
      <c r="EG1009" s="38"/>
      <c r="EH1009" s="38"/>
      <c r="EI1009" s="38"/>
      <c r="FR1009" s="38" t="s">
        <v>826</v>
      </c>
      <c r="FT1009" s="78">
        <v>48</v>
      </c>
    </row>
    <row r="1010" spans="1:176" s="76" customFormat="1" x14ac:dyDescent="0.25">
      <c r="A1010" s="76">
        <v>48</v>
      </c>
      <c r="B1010" s="76" t="s">
        <v>783</v>
      </c>
      <c r="C1010" s="76" t="s">
        <v>784</v>
      </c>
      <c r="D1010" s="76">
        <v>2016</v>
      </c>
      <c r="E1010" s="76">
        <v>2015</v>
      </c>
      <c r="F1010" s="76" t="s">
        <v>785</v>
      </c>
      <c r="G1010" s="76" t="s">
        <v>786</v>
      </c>
      <c r="H1010" s="76">
        <f t="shared" si="224"/>
        <v>42.083333333333336</v>
      </c>
      <c r="I1010" s="76">
        <f t="shared" si="225"/>
        <v>-86.35</v>
      </c>
      <c r="J1010" s="76">
        <v>213.2</v>
      </c>
      <c r="P1010" s="77">
        <v>2</v>
      </c>
      <c r="Q1010" s="77"/>
      <c r="R1010" s="77"/>
      <c r="S1010" s="77" t="s">
        <v>1580</v>
      </c>
      <c r="T1010" s="77" t="s">
        <v>1580</v>
      </c>
      <c r="U1010" s="77" t="s">
        <v>1580</v>
      </c>
      <c r="V1010" s="56" t="s">
        <v>1916</v>
      </c>
      <c r="Z1010" s="76" t="s">
        <v>240</v>
      </c>
      <c r="AD1010" s="31" t="s">
        <v>1503</v>
      </c>
      <c r="AE1010" s="76" t="s">
        <v>159</v>
      </c>
      <c r="AF1010" s="152" t="s">
        <v>159</v>
      </c>
      <c r="AG1010" s="76" t="s">
        <v>1780</v>
      </c>
      <c r="AH1010" s="157" t="s">
        <v>267</v>
      </c>
      <c r="AL1010" s="76" t="s">
        <v>789</v>
      </c>
      <c r="AM1010" s="76" t="s">
        <v>789</v>
      </c>
      <c r="AN1010" s="76" t="s">
        <v>212</v>
      </c>
      <c r="AO1010" s="76" t="s">
        <v>787</v>
      </c>
      <c r="AP1010" s="76" t="s">
        <v>787</v>
      </c>
      <c r="AQ1010" s="76" t="s">
        <v>212</v>
      </c>
      <c r="AR1010" s="76" t="s">
        <v>192</v>
      </c>
      <c r="AS1010" s="76">
        <v>6</v>
      </c>
      <c r="AT1010" s="76">
        <v>6</v>
      </c>
      <c r="AU1010" s="76" t="s">
        <v>379</v>
      </c>
      <c r="AY1010" s="76" t="s">
        <v>788</v>
      </c>
      <c r="AZ1010" s="76" t="s">
        <v>797</v>
      </c>
      <c r="EA1010" s="76">
        <f>(1.98+2.59+1.28)/3</f>
        <v>1.9500000000000002</v>
      </c>
      <c r="EB1010" s="76">
        <f>(6.37+4.61+1.99)/3</f>
        <v>4.3233333333333333</v>
      </c>
      <c r="EC1010" s="31" t="s">
        <v>799</v>
      </c>
      <c r="ED1010" s="31"/>
      <c r="EE1010" s="31"/>
      <c r="EF1010" s="31"/>
      <c r="EG1010" s="31"/>
      <c r="EH1010" s="31"/>
      <c r="EI1010" s="31"/>
      <c r="FR1010" s="31" t="s">
        <v>826</v>
      </c>
      <c r="FT1010" s="76">
        <v>48</v>
      </c>
    </row>
    <row r="1011" spans="1:176" s="76" customFormat="1" x14ac:dyDescent="0.25">
      <c r="A1011" s="76">
        <v>48</v>
      </c>
      <c r="B1011" s="76" t="s">
        <v>783</v>
      </c>
      <c r="C1011" s="76" t="s">
        <v>784</v>
      </c>
      <c r="D1011" s="76">
        <v>2016</v>
      </c>
      <c r="E1011" s="76">
        <v>2015</v>
      </c>
      <c r="F1011" s="76" t="s">
        <v>785</v>
      </c>
      <c r="G1011" s="76" t="s">
        <v>786</v>
      </c>
      <c r="H1011" s="76">
        <f t="shared" si="224"/>
        <v>42.083333333333336</v>
      </c>
      <c r="I1011" s="76">
        <f t="shared" si="225"/>
        <v>-86.35</v>
      </c>
      <c r="J1011" s="76">
        <v>213.2</v>
      </c>
      <c r="P1011" s="77">
        <v>2</v>
      </c>
      <c r="Q1011" s="77"/>
      <c r="R1011" s="77"/>
      <c r="S1011" s="77" t="s">
        <v>1580</v>
      </c>
      <c r="T1011" s="77" t="s">
        <v>1580</v>
      </c>
      <c r="U1011" s="77" t="s">
        <v>1580</v>
      </c>
      <c r="V1011" s="56" t="s">
        <v>1916</v>
      </c>
      <c r="Z1011" s="76" t="s">
        <v>240</v>
      </c>
      <c r="AD1011" s="31" t="s">
        <v>1503</v>
      </c>
      <c r="AE1011" s="76" t="s">
        <v>159</v>
      </c>
      <c r="AF1011" s="152" t="s">
        <v>159</v>
      </c>
      <c r="AG1011" s="76" t="s">
        <v>1780</v>
      </c>
      <c r="AH1011" s="157" t="s">
        <v>267</v>
      </c>
      <c r="AL1011" s="76" t="s">
        <v>790</v>
      </c>
      <c r="AM1011" s="76" t="s">
        <v>790</v>
      </c>
      <c r="AN1011" s="76" t="s">
        <v>212</v>
      </c>
      <c r="AO1011" s="76" t="s">
        <v>787</v>
      </c>
      <c r="AP1011" s="76" t="s">
        <v>787</v>
      </c>
      <c r="AQ1011" s="76" t="s">
        <v>212</v>
      </c>
      <c r="AR1011" s="76" t="s">
        <v>192</v>
      </c>
      <c r="AS1011" s="76">
        <v>6</v>
      </c>
      <c r="AT1011" s="76">
        <v>6</v>
      </c>
      <c r="AU1011" s="76" t="s">
        <v>379</v>
      </c>
      <c r="AY1011" s="76" t="s">
        <v>788</v>
      </c>
      <c r="AZ1011" s="76" t="s">
        <v>797</v>
      </c>
      <c r="EA1011" s="76">
        <f>(1.58+3.45+2.39)/3</f>
        <v>2.4733333333333332</v>
      </c>
      <c r="EB1011" s="76">
        <f>(2.69+3.1+2.09)/3</f>
        <v>2.6266666666666665</v>
      </c>
      <c r="EC1011" s="31" t="s">
        <v>799</v>
      </c>
      <c r="ED1011" s="31"/>
      <c r="EE1011" s="31"/>
      <c r="EF1011" s="31"/>
      <c r="EG1011" s="31"/>
      <c r="EH1011" s="31"/>
      <c r="EI1011" s="31"/>
      <c r="FR1011" s="31" t="s">
        <v>826</v>
      </c>
      <c r="FT1011" s="76">
        <v>48</v>
      </c>
    </row>
    <row r="1012" spans="1:176" s="78" customFormat="1" x14ac:dyDescent="0.25">
      <c r="A1012" s="78">
        <v>48</v>
      </c>
      <c r="B1012" s="78" t="s">
        <v>783</v>
      </c>
      <c r="C1012" s="78" t="s">
        <v>784</v>
      </c>
      <c r="D1012" s="78">
        <v>2016</v>
      </c>
      <c r="E1012" s="78">
        <v>2015</v>
      </c>
      <c r="F1012" s="78" t="s">
        <v>785</v>
      </c>
      <c r="G1012" s="78" t="s">
        <v>786</v>
      </c>
      <c r="H1012" s="78">
        <f t="shared" si="224"/>
        <v>42.083333333333336</v>
      </c>
      <c r="I1012" s="78">
        <f t="shared" si="225"/>
        <v>-86.35</v>
      </c>
      <c r="J1012" s="78">
        <v>213.2</v>
      </c>
      <c r="P1012" s="79">
        <v>2</v>
      </c>
      <c r="Q1012" s="79"/>
      <c r="R1012" s="79"/>
      <c r="S1012" s="79" t="s">
        <v>1580</v>
      </c>
      <c r="T1012" s="79" t="s">
        <v>1580</v>
      </c>
      <c r="U1012" s="79" t="s">
        <v>1580</v>
      </c>
      <c r="V1012" s="57" t="s">
        <v>1916</v>
      </c>
      <c r="Z1012" s="78" t="s">
        <v>240</v>
      </c>
      <c r="AD1012" s="38" t="s">
        <v>1503</v>
      </c>
      <c r="AE1012" s="78" t="s">
        <v>159</v>
      </c>
      <c r="AF1012" s="152" t="s">
        <v>159</v>
      </c>
      <c r="AG1012" s="78" t="s">
        <v>1780</v>
      </c>
      <c r="AH1012" s="157" t="s">
        <v>267</v>
      </c>
      <c r="AL1012" s="78" t="s">
        <v>789</v>
      </c>
      <c r="AM1012" s="78" t="s">
        <v>789</v>
      </c>
      <c r="AN1012" s="78" t="s">
        <v>212</v>
      </c>
      <c r="AO1012" s="78" t="s">
        <v>787</v>
      </c>
      <c r="AP1012" s="78" t="s">
        <v>787</v>
      </c>
      <c r="AQ1012" s="78" t="s">
        <v>212</v>
      </c>
      <c r="AR1012" s="78" t="s">
        <v>192</v>
      </c>
      <c r="AS1012" s="78">
        <v>6</v>
      </c>
      <c r="AT1012" s="78">
        <v>6</v>
      </c>
      <c r="AU1012" s="78" t="s">
        <v>379</v>
      </c>
      <c r="AY1012" s="78" t="s">
        <v>788</v>
      </c>
      <c r="AZ1012" s="78" t="s">
        <v>798</v>
      </c>
      <c r="EA1012" s="78">
        <f>(0.88+17.1+4.5)/3</f>
        <v>7.4933333333333332</v>
      </c>
      <c r="EB1012" s="78">
        <f>(4.56+26.3+3.02)/3</f>
        <v>11.293333333333335</v>
      </c>
      <c r="EC1012" s="38" t="s">
        <v>799</v>
      </c>
      <c r="ED1012" s="38"/>
      <c r="EE1012" s="38"/>
      <c r="EF1012" s="38"/>
      <c r="EG1012" s="38"/>
      <c r="EH1012" s="38"/>
      <c r="EI1012" s="38"/>
      <c r="FR1012" s="38" t="s">
        <v>826</v>
      </c>
      <c r="FT1012" s="78">
        <v>48</v>
      </c>
    </row>
    <row r="1013" spans="1:176" s="78" customFormat="1" x14ac:dyDescent="0.25">
      <c r="A1013" s="78">
        <v>48</v>
      </c>
      <c r="B1013" s="78" t="s">
        <v>783</v>
      </c>
      <c r="C1013" s="78" t="s">
        <v>784</v>
      </c>
      <c r="D1013" s="78">
        <v>2016</v>
      </c>
      <c r="E1013" s="78">
        <v>2015</v>
      </c>
      <c r="F1013" s="78" t="s">
        <v>785</v>
      </c>
      <c r="G1013" s="78" t="s">
        <v>786</v>
      </c>
      <c r="H1013" s="78">
        <f t="shared" si="224"/>
        <v>42.083333333333336</v>
      </c>
      <c r="I1013" s="78">
        <f t="shared" si="225"/>
        <v>-86.35</v>
      </c>
      <c r="J1013" s="78">
        <v>213.2</v>
      </c>
      <c r="P1013" s="79">
        <v>2</v>
      </c>
      <c r="Q1013" s="79"/>
      <c r="R1013" s="79"/>
      <c r="S1013" s="79" t="s">
        <v>1580</v>
      </c>
      <c r="T1013" s="79" t="s">
        <v>1580</v>
      </c>
      <c r="U1013" s="79" t="s">
        <v>1580</v>
      </c>
      <c r="V1013" s="57" t="s">
        <v>1916</v>
      </c>
      <c r="Z1013" s="78" t="s">
        <v>240</v>
      </c>
      <c r="AD1013" s="38" t="s">
        <v>1503</v>
      </c>
      <c r="AE1013" s="78" t="s">
        <v>159</v>
      </c>
      <c r="AF1013" s="152" t="s">
        <v>159</v>
      </c>
      <c r="AG1013" s="78" t="s">
        <v>1780</v>
      </c>
      <c r="AH1013" s="157" t="s">
        <v>267</v>
      </c>
      <c r="AL1013" s="78" t="s">
        <v>790</v>
      </c>
      <c r="AM1013" s="78" t="s">
        <v>790</v>
      </c>
      <c r="AN1013" s="78" t="s">
        <v>212</v>
      </c>
      <c r="AO1013" s="78" t="s">
        <v>787</v>
      </c>
      <c r="AP1013" s="78" t="s">
        <v>787</v>
      </c>
      <c r="AQ1013" s="78" t="s">
        <v>212</v>
      </c>
      <c r="AR1013" s="78" t="s">
        <v>192</v>
      </c>
      <c r="AS1013" s="78">
        <v>6</v>
      </c>
      <c r="AT1013" s="78">
        <v>6</v>
      </c>
      <c r="AU1013" s="78" t="s">
        <v>379</v>
      </c>
      <c r="AY1013" s="78" t="s">
        <v>788</v>
      </c>
      <c r="AZ1013" s="78" t="s">
        <v>798</v>
      </c>
      <c r="EA1013" s="78">
        <f>(0.76+14.87+2.66)/3</f>
        <v>6.0966666666666667</v>
      </c>
      <c r="EB1013" s="78">
        <f>(0.62+17.69+4)/3</f>
        <v>7.4366666666666674</v>
      </c>
      <c r="EC1013" s="38" t="s">
        <v>799</v>
      </c>
      <c r="ED1013" s="38"/>
      <c r="EE1013" s="38"/>
      <c r="EF1013" s="38"/>
      <c r="EG1013" s="38"/>
      <c r="EH1013" s="38"/>
      <c r="EI1013" s="38"/>
      <c r="FR1013" s="38" t="s">
        <v>826</v>
      </c>
      <c r="FT1013" s="78">
        <v>48</v>
      </c>
    </row>
    <row r="1014" spans="1:176" s="26" customFormat="1" x14ac:dyDescent="0.25">
      <c r="A1014" s="26">
        <v>49</v>
      </c>
      <c r="B1014" s="26" t="s">
        <v>827</v>
      </c>
      <c r="C1014" s="26" t="s">
        <v>828</v>
      </c>
      <c r="D1014" s="26">
        <v>2000</v>
      </c>
      <c r="E1014" s="26">
        <v>1995</v>
      </c>
      <c r="F1014" s="26" t="s">
        <v>829</v>
      </c>
      <c r="G1014" s="26" t="s">
        <v>838</v>
      </c>
      <c r="H1014" s="26">
        <v>34.69</v>
      </c>
      <c r="I1014" s="26">
        <v>-86.88</v>
      </c>
      <c r="J1014" s="26">
        <v>181</v>
      </c>
      <c r="P1014" s="52">
        <v>1</v>
      </c>
      <c r="Q1014" s="52"/>
      <c r="R1014" s="52"/>
      <c r="S1014" s="52" t="s">
        <v>1565</v>
      </c>
      <c r="T1014" s="52" t="s">
        <v>1565</v>
      </c>
      <c r="U1014" s="52" t="s">
        <v>1565</v>
      </c>
      <c r="V1014" s="52" t="s">
        <v>1908</v>
      </c>
      <c r="Z1014" s="26" t="s">
        <v>531</v>
      </c>
      <c r="AD1014" s="26" t="s">
        <v>1504</v>
      </c>
      <c r="AE1014" s="26" t="s">
        <v>159</v>
      </c>
      <c r="AF1014" s="152" t="s">
        <v>159</v>
      </c>
      <c r="AG1014" s="26" t="s">
        <v>673</v>
      </c>
      <c r="AH1014" s="154" t="s">
        <v>1797</v>
      </c>
      <c r="AL1014" s="26" t="s">
        <v>830</v>
      </c>
      <c r="AM1014" s="26" t="s">
        <v>830</v>
      </c>
      <c r="AN1014" s="26" t="s">
        <v>212</v>
      </c>
      <c r="AR1014" s="26" t="s">
        <v>192</v>
      </c>
      <c r="AU1014" s="26" t="s">
        <v>169</v>
      </c>
      <c r="BD1014" s="26">
        <v>1590</v>
      </c>
      <c r="BE1014" s="26">
        <v>1510</v>
      </c>
      <c r="CN1014" s="26">
        <v>0.56999999999999995</v>
      </c>
      <c r="CO1014" s="26">
        <v>0.92</v>
      </c>
      <c r="CP1014" s="26" t="s">
        <v>988</v>
      </c>
      <c r="FR1014" s="26" t="s">
        <v>834</v>
      </c>
      <c r="FT1014" s="26">
        <v>49</v>
      </c>
    </row>
    <row r="1015" spans="1:176" s="26" customFormat="1" x14ac:dyDescent="0.25">
      <c r="A1015" s="26">
        <v>49</v>
      </c>
      <c r="B1015" s="26" t="s">
        <v>827</v>
      </c>
      <c r="C1015" s="26" t="s">
        <v>828</v>
      </c>
      <c r="D1015" s="26">
        <v>2000</v>
      </c>
      <c r="E1015" s="26">
        <v>1995</v>
      </c>
      <c r="F1015" s="26" t="s">
        <v>829</v>
      </c>
      <c r="G1015" s="26" t="s">
        <v>838</v>
      </c>
      <c r="H1015" s="26">
        <v>34.69</v>
      </c>
      <c r="I1015" s="26">
        <v>-86.88</v>
      </c>
      <c r="J1015" s="26">
        <v>181</v>
      </c>
      <c r="P1015" s="52">
        <v>1</v>
      </c>
      <c r="Q1015" s="52"/>
      <c r="R1015" s="52"/>
      <c r="S1015" s="52" t="s">
        <v>1565</v>
      </c>
      <c r="T1015" s="52" t="s">
        <v>1565</v>
      </c>
      <c r="U1015" s="52" t="s">
        <v>1565</v>
      </c>
      <c r="V1015" s="52" t="s">
        <v>1908</v>
      </c>
      <c r="Z1015" s="26" t="s">
        <v>531</v>
      </c>
      <c r="AD1015" s="26" t="s">
        <v>1504</v>
      </c>
      <c r="AE1015" s="26" t="s">
        <v>159</v>
      </c>
      <c r="AF1015" s="152" t="s">
        <v>159</v>
      </c>
      <c r="AG1015" s="26" t="s">
        <v>673</v>
      </c>
      <c r="AH1015" s="154" t="s">
        <v>1797</v>
      </c>
      <c r="AL1015" s="26" t="s">
        <v>831</v>
      </c>
      <c r="AM1015" s="26" t="s">
        <v>831</v>
      </c>
      <c r="AN1015" s="26" t="s">
        <v>212</v>
      </c>
      <c r="AR1015" s="26" t="s">
        <v>192</v>
      </c>
      <c r="AU1015" s="26" t="s">
        <v>169</v>
      </c>
      <c r="BD1015" s="26">
        <v>1530</v>
      </c>
      <c r="BE1015" s="26">
        <v>1440</v>
      </c>
      <c r="CN1015" s="26">
        <v>0.69</v>
      </c>
      <c r="CO1015" s="26">
        <v>0.77</v>
      </c>
      <c r="CP1015" s="26" t="s">
        <v>988</v>
      </c>
      <c r="FR1015" s="26" t="s">
        <v>834</v>
      </c>
      <c r="FT1015" s="26">
        <v>49</v>
      </c>
    </row>
    <row r="1016" spans="1:176" s="26" customFormat="1" x14ac:dyDescent="0.25">
      <c r="A1016" s="26">
        <v>49</v>
      </c>
      <c r="B1016" s="26" t="s">
        <v>827</v>
      </c>
      <c r="C1016" s="26" t="s">
        <v>828</v>
      </c>
      <c r="D1016" s="26">
        <v>2000</v>
      </c>
      <c r="E1016" s="26">
        <v>1995</v>
      </c>
      <c r="F1016" s="26" t="s">
        <v>829</v>
      </c>
      <c r="G1016" s="26" t="s">
        <v>838</v>
      </c>
      <c r="H1016" s="26">
        <v>34.69</v>
      </c>
      <c r="I1016" s="26">
        <v>-86.88</v>
      </c>
      <c r="J1016" s="26">
        <v>181</v>
      </c>
      <c r="P1016" s="52">
        <v>1</v>
      </c>
      <c r="Q1016" s="52"/>
      <c r="R1016" s="52"/>
      <c r="S1016" s="52" t="s">
        <v>1565</v>
      </c>
      <c r="T1016" s="52" t="s">
        <v>1565</v>
      </c>
      <c r="U1016" s="52" t="s">
        <v>1565</v>
      </c>
      <c r="V1016" s="52" t="s">
        <v>1908</v>
      </c>
      <c r="Z1016" s="26" t="s">
        <v>531</v>
      </c>
      <c r="AD1016" s="26" t="s">
        <v>1504</v>
      </c>
      <c r="AE1016" s="26" t="s">
        <v>159</v>
      </c>
      <c r="AF1016" s="152" t="s">
        <v>159</v>
      </c>
      <c r="AG1016" s="26" t="s">
        <v>673</v>
      </c>
      <c r="AH1016" s="154" t="s">
        <v>1797</v>
      </c>
      <c r="AL1016" s="26" t="s">
        <v>832</v>
      </c>
      <c r="AM1016" s="26" t="s">
        <v>832</v>
      </c>
      <c r="AN1016" s="26" t="s">
        <v>212</v>
      </c>
      <c r="AR1016" s="26" t="s">
        <v>192</v>
      </c>
      <c r="AU1016" s="26" t="s">
        <v>169</v>
      </c>
      <c r="BD1016" s="26">
        <v>1510</v>
      </c>
      <c r="BE1016" s="26">
        <v>1230</v>
      </c>
      <c r="FR1016" s="26" t="s">
        <v>834</v>
      </c>
      <c r="FT1016" s="26">
        <v>49</v>
      </c>
    </row>
    <row r="1017" spans="1:176" s="26" customFormat="1" x14ac:dyDescent="0.25">
      <c r="A1017" s="26">
        <v>49</v>
      </c>
      <c r="B1017" s="26" t="s">
        <v>827</v>
      </c>
      <c r="C1017" s="26" t="s">
        <v>828</v>
      </c>
      <c r="D1017" s="26">
        <v>2000</v>
      </c>
      <c r="E1017" s="26">
        <v>1995</v>
      </c>
      <c r="F1017" s="26" t="s">
        <v>829</v>
      </c>
      <c r="G1017" s="26" t="s">
        <v>838</v>
      </c>
      <c r="H1017" s="26">
        <v>34.69</v>
      </c>
      <c r="I1017" s="26">
        <v>-86.88</v>
      </c>
      <c r="J1017" s="26">
        <v>181</v>
      </c>
      <c r="P1017" s="52">
        <v>1</v>
      </c>
      <c r="Q1017" s="52"/>
      <c r="R1017" s="52"/>
      <c r="S1017" s="52" t="s">
        <v>1565</v>
      </c>
      <c r="T1017" s="52" t="s">
        <v>1565</v>
      </c>
      <c r="U1017" s="52" t="s">
        <v>1565</v>
      </c>
      <c r="V1017" s="52" t="s">
        <v>1908</v>
      </c>
      <c r="Z1017" s="26" t="s">
        <v>531</v>
      </c>
      <c r="AD1017" s="26" t="s">
        <v>1504</v>
      </c>
      <c r="AE1017" s="26" t="s">
        <v>159</v>
      </c>
      <c r="AF1017" s="152" t="s">
        <v>159</v>
      </c>
      <c r="AG1017" s="26" t="s">
        <v>673</v>
      </c>
      <c r="AH1017" s="154" t="s">
        <v>1797</v>
      </c>
      <c r="AL1017" s="26" t="s">
        <v>833</v>
      </c>
      <c r="AM1017" s="26" t="s">
        <v>833</v>
      </c>
      <c r="AN1017" s="26" t="s">
        <v>212</v>
      </c>
      <c r="AR1017" s="26" t="s">
        <v>192</v>
      </c>
      <c r="AU1017" s="26" t="s">
        <v>169</v>
      </c>
      <c r="BD1017" s="26">
        <v>1420</v>
      </c>
      <c r="BE1017" s="26">
        <v>1280</v>
      </c>
      <c r="FR1017" s="26" t="s">
        <v>834</v>
      </c>
      <c r="FT1017" s="26">
        <v>49</v>
      </c>
    </row>
    <row r="1018" spans="1:176" s="26" customFormat="1" x14ac:dyDescent="0.25">
      <c r="A1018" s="26">
        <v>49</v>
      </c>
      <c r="B1018" s="26" t="s">
        <v>827</v>
      </c>
      <c r="C1018" s="26" t="s">
        <v>828</v>
      </c>
      <c r="D1018" s="26">
        <v>2000</v>
      </c>
      <c r="E1018" s="26">
        <v>1995</v>
      </c>
      <c r="F1018" s="26" t="s">
        <v>829</v>
      </c>
      <c r="G1018" s="26" t="s">
        <v>838</v>
      </c>
      <c r="H1018" s="26">
        <v>34.69</v>
      </c>
      <c r="I1018" s="26">
        <v>-86.88</v>
      </c>
      <c r="J1018" s="26">
        <v>181</v>
      </c>
      <c r="P1018" s="52">
        <v>1</v>
      </c>
      <c r="Q1018" s="52"/>
      <c r="R1018" s="52"/>
      <c r="S1018" s="52" t="s">
        <v>1565</v>
      </c>
      <c r="T1018" s="52" t="s">
        <v>1565</v>
      </c>
      <c r="U1018" s="52" t="s">
        <v>1565</v>
      </c>
      <c r="V1018" s="52" t="s">
        <v>1908</v>
      </c>
      <c r="Z1018" s="26" t="s">
        <v>531</v>
      </c>
      <c r="AD1018" s="26" t="s">
        <v>1504</v>
      </c>
      <c r="AE1018" s="26" t="s">
        <v>159</v>
      </c>
      <c r="AF1018" s="152" t="s">
        <v>159</v>
      </c>
      <c r="AG1018" s="26" t="s">
        <v>673</v>
      </c>
      <c r="AH1018" s="154" t="s">
        <v>1797</v>
      </c>
      <c r="AL1018" s="26" t="s">
        <v>188</v>
      </c>
      <c r="AM1018" s="26" t="s">
        <v>188</v>
      </c>
      <c r="AN1018" s="26" t="s">
        <v>212</v>
      </c>
      <c r="AR1018" s="26" t="s">
        <v>192</v>
      </c>
      <c r="AU1018" s="26" t="s">
        <v>169</v>
      </c>
      <c r="BD1018" s="26">
        <v>1500</v>
      </c>
      <c r="BE1018" s="26">
        <v>1320</v>
      </c>
      <c r="CN1018" s="26">
        <v>1.57</v>
      </c>
      <c r="CO1018" s="26">
        <v>1.47</v>
      </c>
      <c r="CP1018" s="26" t="s">
        <v>988</v>
      </c>
      <c r="FR1018" s="26" t="s">
        <v>834</v>
      </c>
      <c r="FT1018" s="26">
        <v>49</v>
      </c>
    </row>
    <row r="1019" spans="1:176" s="26" customFormat="1" x14ac:dyDescent="0.25">
      <c r="A1019" s="26">
        <v>49</v>
      </c>
      <c r="B1019" s="26" t="s">
        <v>827</v>
      </c>
      <c r="C1019" s="26" t="s">
        <v>828</v>
      </c>
      <c r="D1019" s="26">
        <v>2000</v>
      </c>
      <c r="E1019" s="26">
        <v>1995</v>
      </c>
      <c r="F1019" s="26" t="s">
        <v>829</v>
      </c>
      <c r="G1019" s="26" t="s">
        <v>838</v>
      </c>
      <c r="H1019" s="26">
        <v>34.69</v>
      </c>
      <c r="I1019" s="26">
        <v>-86.88</v>
      </c>
      <c r="J1019" s="26">
        <v>181</v>
      </c>
      <c r="P1019" s="52">
        <v>1</v>
      </c>
      <c r="Q1019" s="52"/>
      <c r="R1019" s="52"/>
      <c r="S1019" s="52" t="s">
        <v>1565</v>
      </c>
      <c r="T1019" s="52" t="s">
        <v>1565</v>
      </c>
      <c r="U1019" s="52" t="s">
        <v>1565</v>
      </c>
      <c r="V1019" s="52" t="s">
        <v>1908</v>
      </c>
      <c r="Z1019" s="26" t="s">
        <v>531</v>
      </c>
      <c r="AD1019" s="26" t="s">
        <v>1504</v>
      </c>
      <c r="AE1019" s="26" t="s">
        <v>159</v>
      </c>
      <c r="AF1019" s="152" t="s">
        <v>159</v>
      </c>
      <c r="AG1019" s="26" t="s">
        <v>673</v>
      </c>
      <c r="AH1019" s="154" t="s">
        <v>1797</v>
      </c>
      <c r="AL1019" s="26" t="s">
        <v>269</v>
      </c>
      <c r="AM1019" s="26" t="s">
        <v>188</v>
      </c>
      <c r="AN1019" s="26" t="s">
        <v>587</v>
      </c>
      <c r="AR1019" s="26" t="s">
        <v>192</v>
      </c>
      <c r="AU1019" s="26" t="s">
        <v>169</v>
      </c>
      <c r="BD1019" s="26">
        <v>1750</v>
      </c>
      <c r="BE1019" s="26">
        <v>1320</v>
      </c>
      <c r="CN1019" s="26">
        <v>1.01</v>
      </c>
      <c r="CO1019" s="26">
        <v>1.47</v>
      </c>
      <c r="CP1019" s="26" t="s">
        <v>988</v>
      </c>
      <c r="FR1019" s="26" t="s">
        <v>834</v>
      </c>
      <c r="FT1019" s="26">
        <v>49</v>
      </c>
    </row>
    <row r="1020" spans="1:176" s="35" customFormat="1" x14ac:dyDescent="0.25">
      <c r="A1020" s="35">
        <v>49</v>
      </c>
      <c r="B1020" s="35" t="s">
        <v>827</v>
      </c>
      <c r="C1020" s="35" t="s">
        <v>828</v>
      </c>
      <c r="D1020" s="35">
        <v>2000</v>
      </c>
      <c r="E1020" s="35">
        <v>1996</v>
      </c>
      <c r="F1020" s="35" t="s">
        <v>829</v>
      </c>
      <c r="G1020" s="35" t="s">
        <v>838</v>
      </c>
      <c r="H1020" s="35">
        <v>34.69</v>
      </c>
      <c r="I1020" s="35">
        <v>-86.88</v>
      </c>
      <c r="J1020" s="35">
        <v>181</v>
      </c>
      <c r="P1020" s="54">
        <v>2</v>
      </c>
      <c r="Q1020" s="54"/>
      <c r="R1020" s="54"/>
      <c r="S1020" s="54" t="s">
        <v>1565</v>
      </c>
      <c r="T1020" s="54" t="s">
        <v>1565</v>
      </c>
      <c r="U1020" s="54" t="s">
        <v>1565</v>
      </c>
      <c r="V1020" s="54" t="s">
        <v>1908</v>
      </c>
      <c r="Z1020" s="35" t="s">
        <v>531</v>
      </c>
      <c r="AD1020" s="35" t="s">
        <v>1504</v>
      </c>
      <c r="AE1020" s="35" t="s">
        <v>159</v>
      </c>
      <c r="AF1020" s="152" t="s">
        <v>159</v>
      </c>
      <c r="AG1020" s="35" t="s">
        <v>673</v>
      </c>
      <c r="AH1020" s="154" t="s">
        <v>1797</v>
      </c>
      <c r="AL1020" s="35" t="s">
        <v>830</v>
      </c>
      <c r="AM1020" s="35" t="s">
        <v>830</v>
      </c>
      <c r="AN1020" s="35" t="s">
        <v>212</v>
      </c>
      <c r="AR1020" s="35" t="s">
        <v>192</v>
      </c>
      <c r="AU1020" s="35" t="s">
        <v>169</v>
      </c>
      <c r="BD1020" s="35">
        <v>3930</v>
      </c>
      <c r="BE1020" s="35">
        <v>4150</v>
      </c>
      <c r="CN1020" s="35">
        <v>0.11</v>
      </c>
      <c r="CO1020" s="35">
        <v>0.64</v>
      </c>
      <c r="CP1020" s="35" t="s">
        <v>988</v>
      </c>
      <c r="FR1020" s="35" t="s">
        <v>834</v>
      </c>
      <c r="FT1020" s="35">
        <v>49</v>
      </c>
    </row>
    <row r="1021" spans="1:176" s="35" customFormat="1" x14ac:dyDescent="0.25">
      <c r="A1021" s="35">
        <v>49</v>
      </c>
      <c r="B1021" s="35" t="s">
        <v>827</v>
      </c>
      <c r="C1021" s="35" t="s">
        <v>828</v>
      </c>
      <c r="D1021" s="35">
        <v>2000</v>
      </c>
      <c r="E1021" s="35">
        <v>1996</v>
      </c>
      <c r="F1021" s="35" t="s">
        <v>829</v>
      </c>
      <c r="G1021" s="35" t="s">
        <v>838</v>
      </c>
      <c r="H1021" s="35">
        <v>34.69</v>
      </c>
      <c r="I1021" s="35">
        <v>-86.88</v>
      </c>
      <c r="J1021" s="35">
        <v>181</v>
      </c>
      <c r="P1021" s="54">
        <v>2</v>
      </c>
      <c r="Q1021" s="54"/>
      <c r="R1021" s="54"/>
      <c r="S1021" s="54" t="s">
        <v>1565</v>
      </c>
      <c r="T1021" s="54" t="s">
        <v>1565</v>
      </c>
      <c r="U1021" s="54" t="s">
        <v>1565</v>
      </c>
      <c r="V1021" s="54" t="s">
        <v>1908</v>
      </c>
      <c r="Z1021" s="35" t="s">
        <v>531</v>
      </c>
      <c r="AD1021" s="35" t="s">
        <v>1504</v>
      </c>
      <c r="AE1021" s="35" t="s">
        <v>159</v>
      </c>
      <c r="AF1021" s="152" t="s">
        <v>159</v>
      </c>
      <c r="AG1021" s="35" t="s">
        <v>673</v>
      </c>
      <c r="AH1021" s="154" t="s">
        <v>1797</v>
      </c>
      <c r="AL1021" s="35" t="s">
        <v>831</v>
      </c>
      <c r="AM1021" s="35" t="s">
        <v>831</v>
      </c>
      <c r="AN1021" s="35" t="s">
        <v>212</v>
      </c>
      <c r="AR1021" s="35" t="s">
        <v>192</v>
      </c>
      <c r="AU1021" s="35" t="s">
        <v>169</v>
      </c>
      <c r="BD1021" s="35">
        <v>3900</v>
      </c>
      <c r="BE1021" s="35">
        <v>4000</v>
      </c>
      <c r="CN1021" s="35">
        <v>0.13</v>
      </c>
      <c r="CO1021" s="35">
        <v>0.19</v>
      </c>
      <c r="CP1021" s="35" t="s">
        <v>988</v>
      </c>
      <c r="FR1021" s="35" t="s">
        <v>834</v>
      </c>
      <c r="FT1021" s="35">
        <v>49</v>
      </c>
    </row>
    <row r="1022" spans="1:176" s="35" customFormat="1" x14ac:dyDescent="0.25">
      <c r="A1022" s="35">
        <v>49</v>
      </c>
      <c r="B1022" s="35" t="s">
        <v>827</v>
      </c>
      <c r="C1022" s="35" t="s">
        <v>828</v>
      </c>
      <c r="D1022" s="35">
        <v>2000</v>
      </c>
      <c r="E1022" s="35">
        <v>1996</v>
      </c>
      <c r="F1022" s="35" t="s">
        <v>829</v>
      </c>
      <c r="G1022" s="35" t="s">
        <v>838</v>
      </c>
      <c r="H1022" s="35">
        <v>34.69</v>
      </c>
      <c r="I1022" s="35">
        <v>-86.88</v>
      </c>
      <c r="J1022" s="35">
        <v>181</v>
      </c>
      <c r="P1022" s="54">
        <v>2</v>
      </c>
      <c r="Q1022" s="54"/>
      <c r="R1022" s="54"/>
      <c r="S1022" s="54" t="s">
        <v>1565</v>
      </c>
      <c r="T1022" s="54" t="s">
        <v>1565</v>
      </c>
      <c r="U1022" s="54" t="s">
        <v>1565</v>
      </c>
      <c r="V1022" s="54" t="s">
        <v>1908</v>
      </c>
      <c r="Z1022" s="35" t="s">
        <v>531</v>
      </c>
      <c r="AD1022" s="35" t="s">
        <v>1504</v>
      </c>
      <c r="AE1022" s="35" t="s">
        <v>159</v>
      </c>
      <c r="AF1022" s="152" t="s">
        <v>159</v>
      </c>
      <c r="AG1022" s="35" t="s">
        <v>673</v>
      </c>
      <c r="AH1022" s="154" t="s">
        <v>1797</v>
      </c>
      <c r="AL1022" s="35" t="s">
        <v>832</v>
      </c>
      <c r="AM1022" s="35" t="s">
        <v>832</v>
      </c>
      <c r="AN1022" s="35" t="s">
        <v>212</v>
      </c>
      <c r="AR1022" s="35" t="s">
        <v>192</v>
      </c>
      <c r="AU1022" s="35" t="s">
        <v>169</v>
      </c>
      <c r="BD1022" s="35">
        <v>3630</v>
      </c>
      <c r="BE1022" s="35">
        <v>4130</v>
      </c>
      <c r="FR1022" s="35" t="s">
        <v>834</v>
      </c>
      <c r="FT1022" s="35">
        <v>49</v>
      </c>
    </row>
    <row r="1023" spans="1:176" s="35" customFormat="1" x14ac:dyDescent="0.25">
      <c r="A1023" s="35">
        <v>49</v>
      </c>
      <c r="B1023" s="35" t="s">
        <v>827</v>
      </c>
      <c r="C1023" s="35" t="s">
        <v>828</v>
      </c>
      <c r="D1023" s="35">
        <v>2000</v>
      </c>
      <c r="E1023" s="35">
        <v>1996</v>
      </c>
      <c r="F1023" s="35" t="s">
        <v>829</v>
      </c>
      <c r="G1023" s="35" t="s">
        <v>838</v>
      </c>
      <c r="H1023" s="35">
        <v>34.69</v>
      </c>
      <c r="I1023" s="35">
        <v>-86.88</v>
      </c>
      <c r="J1023" s="35">
        <v>181</v>
      </c>
      <c r="P1023" s="54">
        <v>2</v>
      </c>
      <c r="Q1023" s="54"/>
      <c r="R1023" s="54"/>
      <c r="S1023" s="54" t="s">
        <v>1565</v>
      </c>
      <c r="T1023" s="54" t="s">
        <v>1565</v>
      </c>
      <c r="U1023" s="54" t="s">
        <v>1565</v>
      </c>
      <c r="V1023" s="54" t="s">
        <v>1908</v>
      </c>
      <c r="Z1023" s="35" t="s">
        <v>531</v>
      </c>
      <c r="AD1023" s="35" t="s">
        <v>1504</v>
      </c>
      <c r="AE1023" s="35" t="s">
        <v>159</v>
      </c>
      <c r="AF1023" s="152" t="s">
        <v>159</v>
      </c>
      <c r="AG1023" s="35" t="s">
        <v>673</v>
      </c>
      <c r="AH1023" s="154" t="s">
        <v>1797</v>
      </c>
      <c r="AL1023" s="35" t="s">
        <v>833</v>
      </c>
      <c r="AM1023" s="35" t="s">
        <v>833</v>
      </c>
      <c r="AN1023" s="35" t="s">
        <v>212</v>
      </c>
      <c r="AR1023" s="35" t="s">
        <v>192</v>
      </c>
      <c r="AU1023" s="35" t="s">
        <v>169</v>
      </c>
      <c r="BD1023" s="35">
        <v>3820</v>
      </c>
      <c r="BE1023" s="35">
        <v>4090</v>
      </c>
      <c r="FR1023" s="35" t="s">
        <v>834</v>
      </c>
      <c r="FT1023" s="35">
        <v>49</v>
      </c>
    </row>
    <row r="1024" spans="1:176" s="35" customFormat="1" x14ac:dyDescent="0.25">
      <c r="A1024" s="35">
        <v>49</v>
      </c>
      <c r="B1024" s="35" t="s">
        <v>827</v>
      </c>
      <c r="C1024" s="35" t="s">
        <v>828</v>
      </c>
      <c r="D1024" s="35">
        <v>2000</v>
      </c>
      <c r="E1024" s="35">
        <v>1996</v>
      </c>
      <c r="F1024" s="35" t="s">
        <v>829</v>
      </c>
      <c r="G1024" s="35" t="s">
        <v>838</v>
      </c>
      <c r="H1024" s="35">
        <v>34.69</v>
      </c>
      <c r="I1024" s="35">
        <v>-86.88</v>
      </c>
      <c r="J1024" s="35">
        <v>181</v>
      </c>
      <c r="P1024" s="54">
        <v>2</v>
      </c>
      <c r="Q1024" s="54"/>
      <c r="R1024" s="54"/>
      <c r="S1024" s="54" t="s">
        <v>1565</v>
      </c>
      <c r="T1024" s="54" t="s">
        <v>1565</v>
      </c>
      <c r="U1024" s="54" t="s">
        <v>1565</v>
      </c>
      <c r="V1024" s="54" t="s">
        <v>1908</v>
      </c>
      <c r="Z1024" s="35" t="s">
        <v>531</v>
      </c>
      <c r="AD1024" s="35" t="s">
        <v>1504</v>
      </c>
      <c r="AE1024" s="35" t="s">
        <v>159</v>
      </c>
      <c r="AF1024" s="152" t="s">
        <v>159</v>
      </c>
      <c r="AG1024" s="35" t="s">
        <v>673</v>
      </c>
      <c r="AH1024" s="154" t="s">
        <v>1797</v>
      </c>
      <c r="AL1024" s="35" t="s">
        <v>188</v>
      </c>
      <c r="AM1024" s="35" t="s">
        <v>188</v>
      </c>
      <c r="AN1024" s="35" t="s">
        <v>212</v>
      </c>
      <c r="AR1024" s="35" t="s">
        <v>192</v>
      </c>
      <c r="AU1024" s="35" t="s">
        <v>169</v>
      </c>
      <c r="BD1024" s="35">
        <v>3730</v>
      </c>
      <c r="BE1024" s="35">
        <v>3960</v>
      </c>
      <c r="CN1024" s="35">
        <v>1.59</v>
      </c>
      <c r="CO1024" s="35">
        <v>1.46</v>
      </c>
      <c r="CP1024" s="35" t="s">
        <v>988</v>
      </c>
      <c r="FR1024" s="35" t="s">
        <v>834</v>
      </c>
      <c r="FT1024" s="35">
        <v>49</v>
      </c>
    </row>
    <row r="1025" spans="1:176" s="35" customFormat="1" x14ac:dyDescent="0.25">
      <c r="A1025" s="35">
        <v>49</v>
      </c>
      <c r="B1025" s="35" t="s">
        <v>827</v>
      </c>
      <c r="C1025" s="35" t="s">
        <v>828</v>
      </c>
      <c r="D1025" s="35">
        <v>2000</v>
      </c>
      <c r="E1025" s="35">
        <v>1996</v>
      </c>
      <c r="F1025" s="35" t="s">
        <v>829</v>
      </c>
      <c r="G1025" s="35" t="s">
        <v>838</v>
      </c>
      <c r="H1025" s="35">
        <v>34.69</v>
      </c>
      <c r="I1025" s="35">
        <v>-86.88</v>
      </c>
      <c r="J1025" s="35">
        <v>181</v>
      </c>
      <c r="P1025" s="54">
        <v>2</v>
      </c>
      <c r="Q1025" s="54"/>
      <c r="R1025" s="54"/>
      <c r="S1025" s="54" t="s">
        <v>1565</v>
      </c>
      <c r="T1025" s="54" t="s">
        <v>1565</v>
      </c>
      <c r="U1025" s="54" t="s">
        <v>1565</v>
      </c>
      <c r="V1025" s="54" t="s">
        <v>1908</v>
      </c>
      <c r="Z1025" s="35" t="s">
        <v>531</v>
      </c>
      <c r="AD1025" s="35" t="s">
        <v>1504</v>
      </c>
      <c r="AE1025" s="35" t="s">
        <v>159</v>
      </c>
      <c r="AF1025" s="152" t="s">
        <v>159</v>
      </c>
      <c r="AG1025" s="35" t="s">
        <v>673</v>
      </c>
      <c r="AH1025" s="154" t="s">
        <v>1797</v>
      </c>
      <c r="AL1025" s="35" t="s">
        <v>269</v>
      </c>
      <c r="AM1025" s="35" t="s">
        <v>188</v>
      </c>
      <c r="AN1025" s="35" t="s">
        <v>587</v>
      </c>
      <c r="AR1025" s="35" t="s">
        <v>192</v>
      </c>
      <c r="AU1025" s="35" t="s">
        <v>169</v>
      </c>
      <c r="BD1025" s="35">
        <v>3740</v>
      </c>
      <c r="BE1025" s="35">
        <v>3960</v>
      </c>
      <c r="CN1025" s="35">
        <v>1.01</v>
      </c>
      <c r="CO1025" s="35">
        <v>1.46</v>
      </c>
      <c r="CP1025" s="35" t="s">
        <v>988</v>
      </c>
      <c r="FR1025" s="35" t="s">
        <v>834</v>
      </c>
      <c r="FT1025" s="35">
        <v>49</v>
      </c>
    </row>
    <row r="1026" spans="1:176" s="42" customFormat="1" x14ac:dyDescent="0.25">
      <c r="A1026" s="26">
        <v>49</v>
      </c>
      <c r="B1026" s="26" t="s">
        <v>827</v>
      </c>
      <c r="C1026" s="26" t="s">
        <v>828</v>
      </c>
      <c r="D1026" s="26">
        <v>2000</v>
      </c>
      <c r="E1026" s="26">
        <v>1997</v>
      </c>
      <c r="F1026" s="26" t="s">
        <v>829</v>
      </c>
      <c r="G1026" s="26" t="s">
        <v>838</v>
      </c>
      <c r="H1026" s="26">
        <v>34.69</v>
      </c>
      <c r="I1026" s="26">
        <v>-86.88</v>
      </c>
      <c r="J1026" s="26">
        <v>181</v>
      </c>
      <c r="K1026" s="26"/>
      <c r="L1026" s="26"/>
      <c r="M1026" s="26"/>
      <c r="N1026" s="26"/>
      <c r="O1026" s="26"/>
      <c r="P1026" s="52">
        <v>3</v>
      </c>
      <c r="Q1026" s="52"/>
      <c r="R1026" s="52"/>
      <c r="S1026" s="52" t="s">
        <v>1565</v>
      </c>
      <c r="T1026" s="52" t="s">
        <v>1565</v>
      </c>
      <c r="U1026" s="52" t="s">
        <v>1565</v>
      </c>
      <c r="V1026" s="52" t="s">
        <v>1908</v>
      </c>
      <c r="W1026" s="26"/>
      <c r="X1026" s="26"/>
      <c r="Y1026" s="26"/>
      <c r="Z1026" s="26" t="s">
        <v>531</v>
      </c>
      <c r="AA1026" s="26"/>
      <c r="AB1026" s="26"/>
      <c r="AC1026" s="26"/>
      <c r="AD1026" s="26" t="s">
        <v>1504</v>
      </c>
      <c r="AE1026" s="26" t="s">
        <v>159</v>
      </c>
      <c r="AF1026" s="152" t="s">
        <v>159</v>
      </c>
      <c r="AG1026" s="26" t="s">
        <v>673</v>
      </c>
      <c r="AH1026" s="154" t="s">
        <v>1797</v>
      </c>
      <c r="AI1026" s="26"/>
      <c r="AJ1026" s="26"/>
      <c r="AK1026" s="26"/>
      <c r="AL1026" s="26" t="s">
        <v>830</v>
      </c>
      <c r="AM1026" s="26" t="s">
        <v>830</v>
      </c>
      <c r="AN1026" s="26" t="s">
        <v>212</v>
      </c>
      <c r="AO1026" s="26"/>
      <c r="AP1026" s="26"/>
      <c r="AQ1026" s="26"/>
      <c r="AR1026" s="26" t="s">
        <v>192</v>
      </c>
      <c r="AS1026" s="26"/>
      <c r="AT1026" s="26"/>
      <c r="AU1026" s="26" t="s">
        <v>169</v>
      </c>
      <c r="AV1026" s="26"/>
      <c r="AW1026" s="26"/>
      <c r="AX1026" s="26"/>
      <c r="AY1026" s="26"/>
      <c r="BD1026" s="42">
        <v>2660</v>
      </c>
      <c r="BE1026" s="42">
        <v>2790</v>
      </c>
      <c r="CN1026" s="42">
        <v>0.62</v>
      </c>
      <c r="CO1026" s="42">
        <v>0.95</v>
      </c>
      <c r="CP1026" s="26" t="s">
        <v>988</v>
      </c>
      <c r="EJ1026" s="47"/>
      <c r="EL1026" s="47"/>
      <c r="FR1026" s="26" t="s">
        <v>834</v>
      </c>
      <c r="FT1026" s="26">
        <v>49</v>
      </c>
    </row>
    <row r="1027" spans="1:176" s="42" customFormat="1" x14ac:dyDescent="0.25">
      <c r="A1027" s="26">
        <v>49</v>
      </c>
      <c r="B1027" s="26" t="s">
        <v>827</v>
      </c>
      <c r="C1027" s="26" t="s">
        <v>828</v>
      </c>
      <c r="D1027" s="26">
        <v>2000</v>
      </c>
      <c r="E1027" s="26">
        <v>1997</v>
      </c>
      <c r="F1027" s="26" t="s">
        <v>829</v>
      </c>
      <c r="G1027" s="26" t="s">
        <v>838</v>
      </c>
      <c r="H1027" s="26">
        <v>34.69</v>
      </c>
      <c r="I1027" s="26">
        <v>-86.88</v>
      </c>
      <c r="J1027" s="26">
        <v>181</v>
      </c>
      <c r="K1027" s="26"/>
      <c r="L1027" s="26"/>
      <c r="M1027" s="26"/>
      <c r="N1027" s="26"/>
      <c r="O1027" s="26"/>
      <c r="P1027" s="52">
        <v>3</v>
      </c>
      <c r="Q1027" s="52"/>
      <c r="R1027" s="52"/>
      <c r="S1027" s="52" t="s">
        <v>1565</v>
      </c>
      <c r="T1027" s="52" t="s">
        <v>1565</v>
      </c>
      <c r="U1027" s="52" t="s">
        <v>1565</v>
      </c>
      <c r="V1027" s="52" t="s">
        <v>1908</v>
      </c>
      <c r="W1027" s="26"/>
      <c r="X1027" s="26"/>
      <c r="Y1027" s="26"/>
      <c r="Z1027" s="26" t="s">
        <v>531</v>
      </c>
      <c r="AA1027" s="26"/>
      <c r="AB1027" s="26"/>
      <c r="AC1027" s="26"/>
      <c r="AD1027" s="26" t="s">
        <v>1504</v>
      </c>
      <c r="AE1027" s="26" t="s">
        <v>159</v>
      </c>
      <c r="AF1027" s="152" t="s">
        <v>159</v>
      </c>
      <c r="AG1027" s="26" t="s">
        <v>673</v>
      </c>
      <c r="AH1027" s="154" t="s">
        <v>1797</v>
      </c>
      <c r="AI1027" s="26"/>
      <c r="AJ1027" s="26"/>
      <c r="AK1027" s="26"/>
      <c r="AL1027" s="26" t="s">
        <v>831</v>
      </c>
      <c r="AM1027" s="26" t="s">
        <v>831</v>
      </c>
      <c r="AN1027" s="26" t="s">
        <v>212</v>
      </c>
      <c r="AO1027" s="26"/>
      <c r="AP1027" s="26"/>
      <c r="AQ1027" s="26"/>
      <c r="AR1027" s="26" t="s">
        <v>192</v>
      </c>
      <c r="AS1027" s="26"/>
      <c r="AT1027" s="26"/>
      <c r="AU1027" s="26" t="s">
        <v>169</v>
      </c>
      <c r="AV1027" s="26"/>
      <c r="AW1027" s="26"/>
      <c r="AX1027" s="26"/>
      <c r="AY1027" s="26"/>
      <c r="BD1027" s="42">
        <v>2420</v>
      </c>
      <c r="BE1027" s="42">
        <v>2750</v>
      </c>
      <c r="CN1027" s="42">
        <v>0.52</v>
      </c>
      <c r="CO1027" s="42">
        <v>0.7</v>
      </c>
      <c r="CP1027" s="26" t="s">
        <v>988</v>
      </c>
      <c r="EJ1027" s="47"/>
      <c r="EL1027" s="47"/>
      <c r="FR1027" s="26" t="s">
        <v>834</v>
      </c>
      <c r="FT1027" s="26">
        <v>49</v>
      </c>
    </row>
    <row r="1028" spans="1:176" s="42" customFormat="1" x14ac:dyDescent="0.25">
      <c r="A1028" s="26">
        <v>49</v>
      </c>
      <c r="B1028" s="26" t="s">
        <v>827</v>
      </c>
      <c r="C1028" s="26" t="s">
        <v>828</v>
      </c>
      <c r="D1028" s="26">
        <v>2000</v>
      </c>
      <c r="E1028" s="26">
        <v>1997</v>
      </c>
      <c r="F1028" s="26" t="s">
        <v>829</v>
      </c>
      <c r="G1028" s="26" t="s">
        <v>838</v>
      </c>
      <c r="H1028" s="26">
        <v>34.69</v>
      </c>
      <c r="I1028" s="26">
        <v>-86.88</v>
      </c>
      <c r="J1028" s="26">
        <v>181</v>
      </c>
      <c r="K1028" s="26"/>
      <c r="L1028" s="26"/>
      <c r="M1028" s="26"/>
      <c r="N1028" s="26"/>
      <c r="O1028" s="26"/>
      <c r="P1028" s="52">
        <v>3</v>
      </c>
      <c r="Q1028" s="52"/>
      <c r="R1028" s="52"/>
      <c r="S1028" s="52" t="s">
        <v>1565</v>
      </c>
      <c r="T1028" s="52" t="s">
        <v>1565</v>
      </c>
      <c r="U1028" s="52" t="s">
        <v>1565</v>
      </c>
      <c r="V1028" s="52" t="s">
        <v>1908</v>
      </c>
      <c r="W1028" s="26"/>
      <c r="X1028" s="26"/>
      <c r="Y1028" s="26"/>
      <c r="Z1028" s="26" t="s">
        <v>531</v>
      </c>
      <c r="AA1028" s="26"/>
      <c r="AB1028" s="26"/>
      <c r="AC1028" s="26"/>
      <c r="AD1028" s="26" t="s">
        <v>1504</v>
      </c>
      <c r="AE1028" s="26" t="s">
        <v>159</v>
      </c>
      <c r="AF1028" s="152" t="s">
        <v>159</v>
      </c>
      <c r="AG1028" s="26" t="s">
        <v>673</v>
      </c>
      <c r="AH1028" s="154" t="s">
        <v>1797</v>
      </c>
      <c r="AI1028" s="26"/>
      <c r="AJ1028" s="26"/>
      <c r="AK1028" s="26"/>
      <c r="AL1028" s="26" t="s">
        <v>832</v>
      </c>
      <c r="AM1028" s="26" t="s">
        <v>832</v>
      </c>
      <c r="AN1028" s="26" t="s">
        <v>212</v>
      </c>
      <c r="AO1028" s="26"/>
      <c r="AP1028" s="26"/>
      <c r="AQ1028" s="26"/>
      <c r="AR1028" s="26" t="s">
        <v>192</v>
      </c>
      <c r="AS1028" s="26"/>
      <c r="AT1028" s="26"/>
      <c r="AU1028" s="26" t="s">
        <v>169</v>
      </c>
      <c r="AV1028" s="26"/>
      <c r="AW1028" s="26"/>
      <c r="AX1028" s="26"/>
      <c r="AY1028" s="26"/>
      <c r="BD1028" s="42">
        <v>2710</v>
      </c>
      <c r="BE1028" s="42">
        <v>3360</v>
      </c>
      <c r="CP1028" s="26"/>
      <c r="EJ1028" s="47"/>
      <c r="EL1028" s="47"/>
      <c r="FR1028" s="26" t="s">
        <v>834</v>
      </c>
      <c r="FT1028" s="26">
        <v>49</v>
      </c>
    </row>
    <row r="1029" spans="1:176" s="42" customFormat="1" x14ac:dyDescent="0.25">
      <c r="A1029" s="26">
        <v>49</v>
      </c>
      <c r="B1029" s="26" t="s">
        <v>827</v>
      </c>
      <c r="C1029" s="26" t="s">
        <v>828</v>
      </c>
      <c r="D1029" s="26">
        <v>2000</v>
      </c>
      <c r="E1029" s="26">
        <v>1997</v>
      </c>
      <c r="F1029" s="26" t="s">
        <v>829</v>
      </c>
      <c r="G1029" s="26" t="s">
        <v>838</v>
      </c>
      <c r="H1029" s="26">
        <v>34.69</v>
      </c>
      <c r="I1029" s="26">
        <v>-86.88</v>
      </c>
      <c r="J1029" s="26">
        <v>181</v>
      </c>
      <c r="K1029" s="26"/>
      <c r="L1029" s="26"/>
      <c r="M1029" s="26"/>
      <c r="N1029" s="26"/>
      <c r="O1029" s="26"/>
      <c r="P1029" s="52">
        <v>3</v>
      </c>
      <c r="Q1029" s="52"/>
      <c r="R1029" s="52"/>
      <c r="S1029" s="52" t="s">
        <v>1565</v>
      </c>
      <c r="T1029" s="52" t="s">
        <v>1565</v>
      </c>
      <c r="U1029" s="52" t="s">
        <v>1565</v>
      </c>
      <c r="V1029" s="52" t="s">
        <v>1908</v>
      </c>
      <c r="W1029" s="26"/>
      <c r="X1029" s="26"/>
      <c r="Y1029" s="26"/>
      <c r="Z1029" s="26" t="s">
        <v>531</v>
      </c>
      <c r="AA1029" s="26"/>
      <c r="AB1029" s="26"/>
      <c r="AC1029" s="26"/>
      <c r="AD1029" s="26" t="s">
        <v>1504</v>
      </c>
      <c r="AE1029" s="26" t="s">
        <v>159</v>
      </c>
      <c r="AF1029" s="152" t="s">
        <v>159</v>
      </c>
      <c r="AG1029" s="26" t="s">
        <v>673</v>
      </c>
      <c r="AH1029" s="154" t="s">
        <v>1797</v>
      </c>
      <c r="AI1029" s="26"/>
      <c r="AJ1029" s="26"/>
      <c r="AK1029" s="26"/>
      <c r="AL1029" s="26" t="s">
        <v>833</v>
      </c>
      <c r="AM1029" s="26" t="s">
        <v>833</v>
      </c>
      <c r="AN1029" s="26" t="s">
        <v>212</v>
      </c>
      <c r="AO1029" s="26"/>
      <c r="AP1029" s="26"/>
      <c r="AQ1029" s="26"/>
      <c r="AR1029" s="26" t="s">
        <v>192</v>
      </c>
      <c r="AS1029" s="26"/>
      <c r="AT1029" s="26"/>
      <c r="AU1029" s="26" t="s">
        <v>169</v>
      </c>
      <c r="AV1029" s="26"/>
      <c r="AW1029" s="26"/>
      <c r="AX1029" s="26"/>
      <c r="AY1029" s="26"/>
      <c r="BD1029" s="42">
        <v>2680</v>
      </c>
      <c r="BE1029" s="42">
        <v>3010</v>
      </c>
      <c r="CP1029" s="26"/>
      <c r="EJ1029" s="47"/>
      <c r="EL1029" s="47"/>
      <c r="FR1029" s="26" t="s">
        <v>834</v>
      </c>
      <c r="FT1029" s="26">
        <v>49</v>
      </c>
    </row>
    <row r="1030" spans="1:176" s="42" customFormat="1" x14ac:dyDescent="0.25">
      <c r="A1030" s="26">
        <v>49</v>
      </c>
      <c r="B1030" s="26" t="s">
        <v>827</v>
      </c>
      <c r="C1030" s="26" t="s">
        <v>828</v>
      </c>
      <c r="D1030" s="26">
        <v>2000</v>
      </c>
      <c r="E1030" s="26">
        <v>1997</v>
      </c>
      <c r="F1030" s="26" t="s">
        <v>829</v>
      </c>
      <c r="G1030" s="26" t="s">
        <v>838</v>
      </c>
      <c r="H1030" s="26">
        <v>34.69</v>
      </c>
      <c r="I1030" s="26">
        <v>-86.88</v>
      </c>
      <c r="J1030" s="26">
        <v>181</v>
      </c>
      <c r="K1030" s="26"/>
      <c r="L1030" s="26"/>
      <c r="M1030" s="26"/>
      <c r="N1030" s="26"/>
      <c r="O1030" s="26"/>
      <c r="P1030" s="52">
        <v>3</v>
      </c>
      <c r="Q1030" s="52"/>
      <c r="R1030" s="52"/>
      <c r="S1030" s="52" t="s">
        <v>1565</v>
      </c>
      <c r="T1030" s="52" t="s">
        <v>1565</v>
      </c>
      <c r="U1030" s="52" t="s">
        <v>1565</v>
      </c>
      <c r="V1030" s="52" t="s">
        <v>1908</v>
      </c>
      <c r="W1030" s="26"/>
      <c r="X1030" s="26"/>
      <c r="Y1030" s="26"/>
      <c r="Z1030" s="26" t="s">
        <v>531</v>
      </c>
      <c r="AA1030" s="26"/>
      <c r="AB1030" s="26"/>
      <c r="AC1030" s="26"/>
      <c r="AD1030" s="26" t="s">
        <v>1504</v>
      </c>
      <c r="AE1030" s="26" t="s">
        <v>159</v>
      </c>
      <c r="AF1030" s="152" t="s">
        <v>159</v>
      </c>
      <c r="AG1030" s="26" t="s">
        <v>673</v>
      </c>
      <c r="AH1030" s="154" t="s">
        <v>1797</v>
      </c>
      <c r="AI1030" s="26"/>
      <c r="AJ1030" s="26"/>
      <c r="AK1030" s="26"/>
      <c r="AL1030" s="26" t="s">
        <v>188</v>
      </c>
      <c r="AM1030" s="26" t="s">
        <v>188</v>
      </c>
      <c r="AN1030" s="26" t="s">
        <v>212</v>
      </c>
      <c r="AO1030" s="26"/>
      <c r="AP1030" s="26"/>
      <c r="AQ1030" s="26"/>
      <c r="AR1030" s="26" t="s">
        <v>192</v>
      </c>
      <c r="AS1030" s="26"/>
      <c r="AT1030" s="26"/>
      <c r="AU1030" s="26" t="s">
        <v>169</v>
      </c>
      <c r="AV1030" s="26"/>
      <c r="AW1030" s="26"/>
      <c r="AX1030" s="26"/>
      <c r="AY1030" s="26"/>
      <c r="BD1030" s="42">
        <v>2880</v>
      </c>
      <c r="BE1030" s="42">
        <v>3180</v>
      </c>
      <c r="CN1030" s="42">
        <v>1.47</v>
      </c>
      <c r="CO1030" s="42">
        <v>1.53</v>
      </c>
      <c r="CP1030" s="26" t="s">
        <v>988</v>
      </c>
      <c r="EJ1030" s="47"/>
      <c r="EL1030" s="47"/>
      <c r="FR1030" s="26" t="s">
        <v>834</v>
      </c>
      <c r="FT1030" s="26">
        <v>49</v>
      </c>
    </row>
    <row r="1031" spans="1:176" s="42" customFormat="1" x14ac:dyDescent="0.25">
      <c r="A1031" s="26">
        <v>49</v>
      </c>
      <c r="B1031" s="26" t="s">
        <v>827</v>
      </c>
      <c r="C1031" s="26" t="s">
        <v>828</v>
      </c>
      <c r="D1031" s="26">
        <v>2000</v>
      </c>
      <c r="E1031" s="26">
        <v>1997</v>
      </c>
      <c r="F1031" s="26" t="s">
        <v>829</v>
      </c>
      <c r="G1031" s="26" t="s">
        <v>838</v>
      </c>
      <c r="H1031" s="26">
        <v>34.69</v>
      </c>
      <c r="I1031" s="26">
        <v>-86.88</v>
      </c>
      <c r="J1031" s="26">
        <v>181</v>
      </c>
      <c r="K1031" s="26"/>
      <c r="L1031" s="26"/>
      <c r="M1031" s="26"/>
      <c r="N1031" s="26"/>
      <c r="O1031" s="26"/>
      <c r="P1031" s="52">
        <v>3</v>
      </c>
      <c r="Q1031" s="52"/>
      <c r="R1031" s="52"/>
      <c r="S1031" s="52" t="s">
        <v>1565</v>
      </c>
      <c r="T1031" s="52" t="s">
        <v>1565</v>
      </c>
      <c r="U1031" s="52" t="s">
        <v>1565</v>
      </c>
      <c r="V1031" s="52" t="s">
        <v>1908</v>
      </c>
      <c r="W1031" s="26"/>
      <c r="X1031" s="26"/>
      <c r="Y1031" s="26"/>
      <c r="Z1031" s="26" t="s">
        <v>531</v>
      </c>
      <c r="AA1031" s="26"/>
      <c r="AB1031" s="26"/>
      <c r="AC1031" s="26"/>
      <c r="AD1031" s="26" t="s">
        <v>1504</v>
      </c>
      <c r="AE1031" s="26" t="s">
        <v>159</v>
      </c>
      <c r="AF1031" s="152" t="s">
        <v>159</v>
      </c>
      <c r="AG1031" s="26" t="s">
        <v>673</v>
      </c>
      <c r="AH1031" s="154" t="s">
        <v>1797</v>
      </c>
      <c r="AI1031" s="26"/>
      <c r="AJ1031" s="26"/>
      <c r="AK1031" s="26"/>
      <c r="AL1031" s="26" t="s">
        <v>269</v>
      </c>
      <c r="AM1031" s="26" t="s">
        <v>188</v>
      </c>
      <c r="AN1031" s="26" t="s">
        <v>587</v>
      </c>
      <c r="AO1031" s="26"/>
      <c r="AP1031" s="26"/>
      <c r="AQ1031" s="26"/>
      <c r="AR1031" s="26" t="s">
        <v>192</v>
      </c>
      <c r="AS1031" s="26"/>
      <c r="AT1031" s="26"/>
      <c r="AU1031" s="26" t="s">
        <v>169</v>
      </c>
      <c r="AV1031" s="26"/>
      <c r="AW1031" s="26"/>
      <c r="AX1031" s="26"/>
      <c r="AY1031" s="26"/>
      <c r="BD1031" s="42">
        <v>3160</v>
      </c>
      <c r="BE1031" s="42">
        <v>3180</v>
      </c>
      <c r="CN1031" s="42">
        <v>0.96</v>
      </c>
      <c r="CO1031" s="42">
        <v>1.53</v>
      </c>
      <c r="CP1031" s="26" t="s">
        <v>988</v>
      </c>
      <c r="EJ1031" s="47"/>
      <c r="EL1031" s="47"/>
      <c r="FR1031" s="26" t="s">
        <v>834</v>
      </c>
      <c r="FT1031" s="26">
        <v>49</v>
      </c>
    </row>
    <row r="1032" spans="1:176" s="35" customFormat="1" x14ac:dyDescent="0.25">
      <c r="A1032" s="35">
        <v>49</v>
      </c>
      <c r="B1032" s="35" t="s">
        <v>827</v>
      </c>
      <c r="C1032" s="35" t="s">
        <v>828</v>
      </c>
      <c r="D1032" s="35">
        <v>2000</v>
      </c>
      <c r="E1032" s="35">
        <v>1998</v>
      </c>
      <c r="F1032" s="35" t="s">
        <v>829</v>
      </c>
      <c r="G1032" s="35" t="s">
        <v>838</v>
      </c>
      <c r="H1032" s="35">
        <v>34.69</v>
      </c>
      <c r="I1032" s="35">
        <v>-86.88</v>
      </c>
      <c r="J1032" s="35">
        <v>181</v>
      </c>
      <c r="P1032" s="54">
        <v>4</v>
      </c>
      <c r="Q1032" s="54"/>
      <c r="R1032" s="54"/>
      <c r="S1032" s="54" t="s">
        <v>1565</v>
      </c>
      <c r="T1032" s="54" t="s">
        <v>1565</v>
      </c>
      <c r="U1032" s="54" t="s">
        <v>1565</v>
      </c>
      <c r="V1032" s="54" t="s">
        <v>1908</v>
      </c>
      <c r="Z1032" s="35" t="s">
        <v>531</v>
      </c>
      <c r="AD1032" s="35" t="s">
        <v>1504</v>
      </c>
      <c r="AE1032" s="35" t="s">
        <v>159</v>
      </c>
      <c r="AF1032" s="152" t="s">
        <v>159</v>
      </c>
      <c r="AG1032" s="35" t="s">
        <v>673</v>
      </c>
      <c r="AH1032" s="154" t="s">
        <v>1797</v>
      </c>
      <c r="AL1032" s="35" t="s">
        <v>830</v>
      </c>
      <c r="AM1032" s="35" t="s">
        <v>830</v>
      </c>
      <c r="AN1032" s="35" t="s">
        <v>212</v>
      </c>
      <c r="AR1032" s="35" t="s">
        <v>192</v>
      </c>
      <c r="AU1032" s="35" t="s">
        <v>169</v>
      </c>
      <c r="BD1032" s="35">
        <v>2510</v>
      </c>
      <c r="BE1032" s="35">
        <v>2870</v>
      </c>
      <c r="CN1032" s="35">
        <v>0.73</v>
      </c>
      <c r="CO1032" s="35">
        <v>0.48</v>
      </c>
      <c r="CP1032" s="35" t="s">
        <v>988</v>
      </c>
      <c r="FR1032" s="35" t="s">
        <v>834</v>
      </c>
      <c r="FT1032" s="35">
        <v>49</v>
      </c>
    </row>
    <row r="1033" spans="1:176" s="35" customFormat="1" x14ac:dyDescent="0.25">
      <c r="A1033" s="35">
        <v>49</v>
      </c>
      <c r="B1033" s="35" t="s">
        <v>827</v>
      </c>
      <c r="C1033" s="35" t="s">
        <v>828</v>
      </c>
      <c r="D1033" s="35">
        <v>2000</v>
      </c>
      <c r="E1033" s="35">
        <v>1998</v>
      </c>
      <c r="F1033" s="35" t="s">
        <v>829</v>
      </c>
      <c r="G1033" s="35" t="s">
        <v>838</v>
      </c>
      <c r="H1033" s="35">
        <v>34.69</v>
      </c>
      <c r="I1033" s="35">
        <v>-86.88</v>
      </c>
      <c r="J1033" s="35">
        <v>181</v>
      </c>
      <c r="P1033" s="54">
        <v>4</v>
      </c>
      <c r="Q1033" s="54"/>
      <c r="R1033" s="54"/>
      <c r="S1033" s="54" t="s">
        <v>1565</v>
      </c>
      <c r="T1033" s="54" t="s">
        <v>1565</v>
      </c>
      <c r="U1033" s="54" t="s">
        <v>1565</v>
      </c>
      <c r="V1033" s="54" t="s">
        <v>1908</v>
      </c>
      <c r="Z1033" s="35" t="s">
        <v>531</v>
      </c>
      <c r="AD1033" s="35" t="s">
        <v>1504</v>
      </c>
      <c r="AE1033" s="35" t="s">
        <v>159</v>
      </c>
      <c r="AF1033" s="152" t="s">
        <v>159</v>
      </c>
      <c r="AG1033" s="35" t="s">
        <v>673</v>
      </c>
      <c r="AH1033" s="154" t="s">
        <v>1797</v>
      </c>
      <c r="AL1033" s="35" t="s">
        <v>831</v>
      </c>
      <c r="AM1033" s="35" t="s">
        <v>831</v>
      </c>
      <c r="AN1033" s="35" t="s">
        <v>212</v>
      </c>
      <c r="AR1033" s="35" t="s">
        <v>192</v>
      </c>
      <c r="AU1033" s="35" t="s">
        <v>169</v>
      </c>
      <c r="BD1033" s="35">
        <v>2240</v>
      </c>
      <c r="BE1033" s="35">
        <v>2640</v>
      </c>
      <c r="CN1033" s="35">
        <v>0.56999999999999995</v>
      </c>
      <c r="CO1033" s="35">
        <v>0.56999999999999995</v>
      </c>
      <c r="CP1033" s="35" t="s">
        <v>988</v>
      </c>
      <c r="FR1033" s="35" t="s">
        <v>834</v>
      </c>
      <c r="FT1033" s="35">
        <v>49</v>
      </c>
    </row>
    <row r="1034" spans="1:176" s="35" customFormat="1" x14ac:dyDescent="0.25">
      <c r="A1034" s="35">
        <v>49</v>
      </c>
      <c r="B1034" s="35" t="s">
        <v>827</v>
      </c>
      <c r="C1034" s="35" t="s">
        <v>828</v>
      </c>
      <c r="D1034" s="35">
        <v>2000</v>
      </c>
      <c r="E1034" s="35">
        <v>1998</v>
      </c>
      <c r="F1034" s="35" t="s">
        <v>829</v>
      </c>
      <c r="G1034" s="35" t="s">
        <v>838</v>
      </c>
      <c r="H1034" s="35">
        <v>34.69</v>
      </c>
      <c r="I1034" s="35">
        <v>-86.88</v>
      </c>
      <c r="J1034" s="35">
        <v>181</v>
      </c>
      <c r="P1034" s="54">
        <v>4</v>
      </c>
      <c r="Q1034" s="54"/>
      <c r="R1034" s="54"/>
      <c r="S1034" s="54" t="s">
        <v>1565</v>
      </c>
      <c r="T1034" s="54" t="s">
        <v>1565</v>
      </c>
      <c r="U1034" s="54" t="s">
        <v>1565</v>
      </c>
      <c r="V1034" s="54" t="s">
        <v>1908</v>
      </c>
      <c r="Z1034" s="35" t="s">
        <v>531</v>
      </c>
      <c r="AD1034" s="35" t="s">
        <v>1504</v>
      </c>
      <c r="AE1034" s="35" t="s">
        <v>159</v>
      </c>
      <c r="AF1034" s="152" t="s">
        <v>159</v>
      </c>
      <c r="AG1034" s="35" t="s">
        <v>673</v>
      </c>
      <c r="AH1034" s="154" t="s">
        <v>1797</v>
      </c>
      <c r="AL1034" s="35" t="s">
        <v>832</v>
      </c>
      <c r="AM1034" s="35" t="s">
        <v>832</v>
      </c>
      <c r="AN1034" s="35" t="s">
        <v>212</v>
      </c>
      <c r="AR1034" s="35" t="s">
        <v>192</v>
      </c>
      <c r="AU1034" s="35" t="s">
        <v>169</v>
      </c>
      <c r="BD1034" s="35">
        <v>2410</v>
      </c>
      <c r="BE1034" s="35">
        <v>2830</v>
      </c>
      <c r="FR1034" s="35" t="s">
        <v>834</v>
      </c>
      <c r="FT1034" s="35">
        <v>49</v>
      </c>
    </row>
    <row r="1035" spans="1:176" s="35" customFormat="1" x14ac:dyDescent="0.25">
      <c r="A1035" s="35">
        <v>49</v>
      </c>
      <c r="B1035" s="35" t="s">
        <v>827</v>
      </c>
      <c r="C1035" s="35" t="s">
        <v>828</v>
      </c>
      <c r="D1035" s="35">
        <v>2000</v>
      </c>
      <c r="E1035" s="35">
        <v>1998</v>
      </c>
      <c r="F1035" s="35" t="s">
        <v>829</v>
      </c>
      <c r="G1035" s="35" t="s">
        <v>838</v>
      </c>
      <c r="H1035" s="35">
        <v>34.69</v>
      </c>
      <c r="I1035" s="35">
        <v>-86.88</v>
      </c>
      <c r="J1035" s="35">
        <v>181</v>
      </c>
      <c r="P1035" s="54">
        <v>4</v>
      </c>
      <c r="Q1035" s="54"/>
      <c r="R1035" s="54"/>
      <c r="S1035" s="54" t="s">
        <v>1565</v>
      </c>
      <c r="T1035" s="54" t="s">
        <v>1565</v>
      </c>
      <c r="U1035" s="54" t="s">
        <v>1565</v>
      </c>
      <c r="V1035" s="54" t="s">
        <v>1908</v>
      </c>
      <c r="Z1035" s="35" t="s">
        <v>531</v>
      </c>
      <c r="AD1035" s="35" t="s">
        <v>1504</v>
      </c>
      <c r="AE1035" s="35" t="s">
        <v>159</v>
      </c>
      <c r="AF1035" s="152" t="s">
        <v>159</v>
      </c>
      <c r="AG1035" s="35" t="s">
        <v>673</v>
      </c>
      <c r="AH1035" s="154" t="s">
        <v>1797</v>
      </c>
      <c r="AL1035" s="35" t="s">
        <v>833</v>
      </c>
      <c r="AM1035" s="35" t="s">
        <v>833</v>
      </c>
      <c r="AN1035" s="35" t="s">
        <v>212</v>
      </c>
      <c r="AR1035" s="35" t="s">
        <v>192</v>
      </c>
      <c r="AU1035" s="35" t="s">
        <v>169</v>
      </c>
      <c r="BD1035" s="35">
        <v>2370</v>
      </c>
      <c r="BE1035" s="35">
        <v>2780</v>
      </c>
      <c r="FR1035" s="35" t="s">
        <v>834</v>
      </c>
      <c r="FT1035" s="35">
        <v>49</v>
      </c>
    </row>
    <row r="1036" spans="1:176" s="35" customFormat="1" x14ac:dyDescent="0.25">
      <c r="A1036" s="35">
        <v>49</v>
      </c>
      <c r="B1036" s="35" t="s">
        <v>827</v>
      </c>
      <c r="C1036" s="35" t="s">
        <v>828</v>
      </c>
      <c r="D1036" s="35">
        <v>2000</v>
      </c>
      <c r="E1036" s="35">
        <v>1998</v>
      </c>
      <c r="F1036" s="35" t="s">
        <v>829</v>
      </c>
      <c r="G1036" s="35" t="s">
        <v>838</v>
      </c>
      <c r="H1036" s="35">
        <v>34.69</v>
      </c>
      <c r="I1036" s="35">
        <v>-86.88</v>
      </c>
      <c r="J1036" s="35">
        <v>181</v>
      </c>
      <c r="P1036" s="54">
        <v>4</v>
      </c>
      <c r="Q1036" s="54"/>
      <c r="R1036" s="54"/>
      <c r="S1036" s="54" t="s">
        <v>1565</v>
      </c>
      <c r="T1036" s="54" t="s">
        <v>1565</v>
      </c>
      <c r="U1036" s="54" t="s">
        <v>1565</v>
      </c>
      <c r="V1036" s="54" t="s">
        <v>1908</v>
      </c>
      <c r="Z1036" s="35" t="s">
        <v>531</v>
      </c>
      <c r="AD1036" s="35" t="s">
        <v>1504</v>
      </c>
      <c r="AE1036" s="35" t="s">
        <v>159</v>
      </c>
      <c r="AF1036" s="152" t="s">
        <v>159</v>
      </c>
      <c r="AG1036" s="35" t="s">
        <v>673</v>
      </c>
      <c r="AH1036" s="154" t="s">
        <v>1797</v>
      </c>
      <c r="AL1036" s="35" t="s">
        <v>188</v>
      </c>
      <c r="AM1036" s="35" t="s">
        <v>188</v>
      </c>
      <c r="AN1036" s="35" t="s">
        <v>212</v>
      </c>
      <c r="AR1036" s="35" t="s">
        <v>192</v>
      </c>
      <c r="AU1036" s="35" t="s">
        <v>169</v>
      </c>
      <c r="BD1036" s="35">
        <v>2620</v>
      </c>
      <c r="BE1036" s="35">
        <v>2830</v>
      </c>
      <c r="CN1036" s="35">
        <v>1.49</v>
      </c>
      <c r="CO1036" s="35">
        <v>1.55</v>
      </c>
      <c r="CP1036" s="35" t="s">
        <v>988</v>
      </c>
      <c r="FR1036" s="35" t="s">
        <v>834</v>
      </c>
      <c r="FT1036" s="35">
        <v>49</v>
      </c>
    </row>
    <row r="1037" spans="1:176" s="35" customFormat="1" x14ac:dyDescent="0.25">
      <c r="A1037" s="35">
        <v>49</v>
      </c>
      <c r="B1037" s="35" t="s">
        <v>827</v>
      </c>
      <c r="C1037" s="35" t="s">
        <v>828</v>
      </c>
      <c r="D1037" s="35">
        <v>2000</v>
      </c>
      <c r="E1037" s="35">
        <v>1998</v>
      </c>
      <c r="F1037" s="35" t="s">
        <v>829</v>
      </c>
      <c r="G1037" s="35" t="s">
        <v>838</v>
      </c>
      <c r="H1037" s="35">
        <v>34.69</v>
      </c>
      <c r="I1037" s="35">
        <v>-86.88</v>
      </c>
      <c r="J1037" s="35">
        <v>181</v>
      </c>
      <c r="P1037" s="54">
        <v>4</v>
      </c>
      <c r="Q1037" s="54"/>
      <c r="R1037" s="54"/>
      <c r="S1037" s="54" t="s">
        <v>1565</v>
      </c>
      <c r="T1037" s="54" t="s">
        <v>1565</v>
      </c>
      <c r="U1037" s="54" t="s">
        <v>1565</v>
      </c>
      <c r="V1037" s="54" t="s">
        <v>1908</v>
      </c>
      <c r="Z1037" s="35" t="s">
        <v>531</v>
      </c>
      <c r="AD1037" s="35" t="s">
        <v>1504</v>
      </c>
      <c r="AE1037" s="35" t="s">
        <v>159</v>
      </c>
      <c r="AF1037" s="152" t="s">
        <v>159</v>
      </c>
      <c r="AG1037" s="35" t="s">
        <v>673</v>
      </c>
      <c r="AH1037" s="154" t="s">
        <v>1797</v>
      </c>
      <c r="AL1037" s="35" t="s">
        <v>269</v>
      </c>
      <c r="AM1037" s="35" t="s">
        <v>188</v>
      </c>
      <c r="AN1037" s="35" t="s">
        <v>587</v>
      </c>
      <c r="AR1037" s="35" t="s">
        <v>192</v>
      </c>
      <c r="AU1037" s="35" t="s">
        <v>169</v>
      </c>
      <c r="BD1037" s="35">
        <v>2480</v>
      </c>
      <c r="BE1037" s="35">
        <v>2830</v>
      </c>
      <c r="CN1037" s="35">
        <v>1.01</v>
      </c>
      <c r="CO1037" s="35">
        <v>1.55</v>
      </c>
      <c r="CP1037" s="35" t="s">
        <v>988</v>
      </c>
      <c r="FR1037" s="35" t="s">
        <v>834</v>
      </c>
      <c r="FT1037" s="35">
        <v>49</v>
      </c>
    </row>
    <row r="1038" spans="1:176" s="5" customFormat="1" x14ac:dyDescent="0.25">
      <c r="A1038" s="5">
        <v>50</v>
      </c>
      <c r="B1038" s="5" t="s">
        <v>835</v>
      </c>
      <c r="C1038" s="5" t="s">
        <v>836</v>
      </c>
      <c r="D1038" s="5">
        <v>2000</v>
      </c>
      <c r="E1038" s="5">
        <v>1995</v>
      </c>
      <c r="F1038" s="5" t="s">
        <v>837</v>
      </c>
      <c r="H1038" s="5">
        <v>41.84</v>
      </c>
      <c r="I1038" s="5">
        <v>-85.68</v>
      </c>
      <c r="J1038" s="5">
        <v>244</v>
      </c>
      <c r="P1038" s="62">
        <v>1</v>
      </c>
      <c r="Q1038" s="62"/>
      <c r="R1038" s="62"/>
      <c r="S1038" s="62" t="s">
        <v>1576</v>
      </c>
      <c r="T1038" s="62" t="s">
        <v>1576</v>
      </c>
      <c r="U1038" s="62" t="s">
        <v>1593</v>
      </c>
      <c r="V1038" s="62" t="s">
        <v>1915</v>
      </c>
      <c r="Z1038" s="5" t="s">
        <v>278</v>
      </c>
      <c r="AD1038" s="5" t="s">
        <v>1505</v>
      </c>
      <c r="AE1038" s="5" t="s">
        <v>159</v>
      </c>
      <c r="AF1038" s="152" t="s">
        <v>159</v>
      </c>
      <c r="AG1038" s="5" t="s">
        <v>160</v>
      </c>
      <c r="AH1038" s="155" t="s">
        <v>160</v>
      </c>
      <c r="AO1038" s="5" t="s">
        <v>839</v>
      </c>
      <c r="AP1038" s="5" t="s">
        <v>839</v>
      </c>
      <c r="AQ1038" s="5" t="s">
        <v>212</v>
      </c>
      <c r="AR1038" s="5" t="s">
        <v>192</v>
      </c>
      <c r="AY1038" s="64"/>
      <c r="AZ1038" s="5" t="s">
        <v>841</v>
      </c>
      <c r="BD1038" s="5">
        <v>1308</v>
      </c>
      <c r="BE1038" s="5">
        <v>1188</v>
      </c>
      <c r="BM1038" s="5">
        <v>3.66</v>
      </c>
      <c r="BN1038" s="5">
        <v>1.62</v>
      </c>
      <c r="BO1038" s="5" t="s">
        <v>843</v>
      </c>
      <c r="DC1038" s="5">
        <v>92.38</v>
      </c>
      <c r="DD1038" s="5">
        <v>66.83</v>
      </c>
      <c r="DE1038" s="5" t="s">
        <v>847</v>
      </c>
      <c r="EJ1038" s="46"/>
      <c r="EL1038" s="46"/>
      <c r="FR1038" s="5" t="s">
        <v>842</v>
      </c>
      <c r="FT1038" s="5">
        <v>50</v>
      </c>
    </row>
    <row r="1039" spans="1:176" s="5" customFormat="1" x14ac:dyDescent="0.25">
      <c r="A1039" s="5">
        <v>50</v>
      </c>
      <c r="B1039" s="5" t="s">
        <v>835</v>
      </c>
      <c r="C1039" s="5" t="s">
        <v>836</v>
      </c>
      <c r="D1039" s="5">
        <v>2000</v>
      </c>
      <c r="E1039" s="5">
        <v>1995</v>
      </c>
      <c r="F1039" s="5" t="s">
        <v>837</v>
      </c>
      <c r="H1039" s="5">
        <v>41.84</v>
      </c>
      <c r="I1039" s="5">
        <v>-85.68</v>
      </c>
      <c r="J1039" s="5">
        <v>244</v>
      </c>
      <c r="P1039" s="62">
        <v>1</v>
      </c>
      <c r="Q1039" s="62"/>
      <c r="R1039" s="62"/>
      <c r="S1039" s="62" t="s">
        <v>1576</v>
      </c>
      <c r="T1039" s="62" t="s">
        <v>1576</v>
      </c>
      <c r="U1039" s="62" t="s">
        <v>1593</v>
      </c>
      <c r="V1039" s="62" t="s">
        <v>1915</v>
      </c>
      <c r="Z1039" s="5" t="s">
        <v>278</v>
      </c>
      <c r="AD1039" s="5" t="s">
        <v>1505</v>
      </c>
      <c r="AE1039" s="5" t="s">
        <v>159</v>
      </c>
      <c r="AF1039" s="152" t="s">
        <v>159</v>
      </c>
      <c r="AG1039" s="5" t="s">
        <v>160</v>
      </c>
      <c r="AH1039" s="155" t="s">
        <v>160</v>
      </c>
      <c r="AO1039" s="5" t="s">
        <v>840</v>
      </c>
      <c r="AP1039" s="5" t="s">
        <v>840</v>
      </c>
      <c r="AQ1039" s="5" t="s">
        <v>212</v>
      </c>
      <c r="AR1039" s="5" t="s">
        <v>192</v>
      </c>
      <c r="AY1039" s="64"/>
      <c r="AZ1039" s="5" t="s">
        <v>841</v>
      </c>
      <c r="BD1039" s="5">
        <v>1167</v>
      </c>
      <c r="BE1039" s="5">
        <v>1156</v>
      </c>
      <c r="BM1039" s="5">
        <v>2.5299999999999998</v>
      </c>
      <c r="BN1039" s="5">
        <v>2.78</v>
      </c>
      <c r="BO1039" s="5" t="s">
        <v>843</v>
      </c>
      <c r="EJ1039" s="46"/>
      <c r="EL1039" s="46"/>
      <c r="FR1039" s="5" t="s">
        <v>842</v>
      </c>
      <c r="FT1039" s="5">
        <v>50</v>
      </c>
    </row>
    <row r="1040" spans="1:176" s="31" customFormat="1" x14ac:dyDescent="0.25">
      <c r="A1040" s="31">
        <v>50</v>
      </c>
      <c r="B1040" s="31" t="s">
        <v>835</v>
      </c>
      <c r="C1040" s="31" t="s">
        <v>836</v>
      </c>
      <c r="D1040" s="31">
        <v>2000</v>
      </c>
      <c r="E1040" s="31">
        <v>1996</v>
      </c>
      <c r="F1040" s="31" t="s">
        <v>837</v>
      </c>
      <c r="H1040" s="31">
        <v>41.84</v>
      </c>
      <c r="I1040" s="31">
        <v>-85.68</v>
      </c>
      <c r="J1040" s="31">
        <v>244</v>
      </c>
      <c r="P1040" s="56">
        <v>2</v>
      </c>
      <c r="Q1040" s="56"/>
      <c r="R1040" s="56"/>
      <c r="S1040" s="56" t="s">
        <v>1576</v>
      </c>
      <c r="T1040" s="56" t="s">
        <v>1576</v>
      </c>
      <c r="U1040" s="56" t="s">
        <v>1593</v>
      </c>
      <c r="V1040" s="56" t="s">
        <v>1915</v>
      </c>
      <c r="Z1040" s="31" t="s">
        <v>278</v>
      </c>
      <c r="AD1040" s="31" t="s">
        <v>1505</v>
      </c>
      <c r="AE1040" s="31" t="s">
        <v>159</v>
      </c>
      <c r="AF1040" s="152" t="s">
        <v>159</v>
      </c>
      <c r="AG1040" s="31" t="s">
        <v>160</v>
      </c>
      <c r="AH1040" s="155" t="s">
        <v>160</v>
      </c>
      <c r="AO1040" s="31" t="s">
        <v>839</v>
      </c>
      <c r="AP1040" s="31" t="s">
        <v>839</v>
      </c>
      <c r="AQ1040" s="31" t="s">
        <v>212</v>
      </c>
      <c r="AR1040" s="31" t="s">
        <v>192</v>
      </c>
      <c r="AW1040" s="31">
        <v>754</v>
      </c>
      <c r="AX1040" s="31">
        <f>AW1040/20</f>
        <v>37.700000000000003</v>
      </c>
      <c r="AZ1040" s="5" t="s">
        <v>841</v>
      </c>
      <c r="BD1040" s="31">
        <v>5047</v>
      </c>
      <c r="BE1040" s="31">
        <v>5328</v>
      </c>
      <c r="BM1040" s="31">
        <v>2.71</v>
      </c>
      <c r="BN1040" s="31">
        <v>3.21</v>
      </c>
      <c r="BO1040" s="31" t="s">
        <v>843</v>
      </c>
      <c r="DC1040" s="31">
        <v>55.75</v>
      </c>
      <c r="DD1040" s="31">
        <v>15.9</v>
      </c>
      <c r="DE1040" s="31" t="s">
        <v>847</v>
      </c>
      <c r="FR1040" s="5" t="s">
        <v>842</v>
      </c>
      <c r="FT1040" s="31">
        <v>50</v>
      </c>
    </row>
    <row r="1041" spans="1:176" s="31" customFormat="1" x14ac:dyDescent="0.25">
      <c r="A1041" s="31">
        <v>50</v>
      </c>
      <c r="B1041" s="31" t="s">
        <v>835</v>
      </c>
      <c r="C1041" s="31" t="s">
        <v>836</v>
      </c>
      <c r="D1041" s="31">
        <v>2000</v>
      </c>
      <c r="E1041" s="31">
        <v>1996</v>
      </c>
      <c r="F1041" s="31" t="s">
        <v>837</v>
      </c>
      <c r="H1041" s="31">
        <v>41.84</v>
      </c>
      <c r="I1041" s="31">
        <v>-85.68</v>
      </c>
      <c r="J1041" s="31">
        <v>244</v>
      </c>
      <c r="P1041" s="56">
        <v>2</v>
      </c>
      <c r="Q1041" s="56"/>
      <c r="R1041" s="56"/>
      <c r="S1041" s="56" t="s">
        <v>1576</v>
      </c>
      <c r="T1041" s="56" t="s">
        <v>1576</v>
      </c>
      <c r="U1041" s="56" t="s">
        <v>1593</v>
      </c>
      <c r="V1041" s="56" t="s">
        <v>1915</v>
      </c>
      <c r="Z1041" s="31" t="s">
        <v>278</v>
      </c>
      <c r="AD1041" s="31" t="s">
        <v>1505</v>
      </c>
      <c r="AE1041" s="31" t="s">
        <v>159</v>
      </c>
      <c r="AF1041" s="152" t="s">
        <v>159</v>
      </c>
      <c r="AG1041" s="31" t="s">
        <v>160</v>
      </c>
      <c r="AH1041" s="155" t="s">
        <v>160</v>
      </c>
      <c r="AO1041" s="31" t="s">
        <v>840</v>
      </c>
      <c r="AP1041" s="31" t="s">
        <v>840</v>
      </c>
      <c r="AQ1041" s="31" t="s">
        <v>212</v>
      </c>
      <c r="AR1041" s="31" t="s">
        <v>192</v>
      </c>
      <c r="AW1041" s="31">
        <v>1763</v>
      </c>
      <c r="AX1041" s="31">
        <f>AW1041/45.4</f>
        <v>38.832599118942731</v>
      </c>
      <c r="AZ1041" s="5" t="s">
        <v>841</v>
      </c>
      <c r="BD1041" s="31">
        <v>6211</v>
      </c>
      <c r="BE1041" s="31">
        <v>5632</v>
      </c>
      <c r="BM1041" s="31">
        <v>4.6100000000000003</v>
      </c>
      <c r="BN1041" s="31">
        <v>3.06</v>
      </c>
      <c r="BO1041" s="31" t="s">
        <v>843</v>
      </c>
      <c r="FR1041" s="5" t="s">
        <v>842</v>
      </c>
      <c r="FT1041" s="31">
        <v>50</v>
      </c>
    </row>
    <row r="1042" spans="1:176" s="5" customFormat="1" x14ac:dyDescent="0.25">
      <c r="A1042" s="5">
        <v>50</v>
      </c>
      <c r="B1042" s="5" t="s">
        <v>835</v>
      </c>
      <c r="C1042" s="5" t="s">
        <v>836</v>
      </c>
      <c r="D1042" s="5">
        <v>2000</v>
      </c>
      <c r="E1042" s="5">
        <v>1997</v>
      </c>
      <c r="F1042" s="5" t="s">
        <v>837</v>
      </c>
      <c r="H1042" s="5">
        <v>41.84</v>
      </c>
      <c r="I1042" s="5">
        <v>-85.68</v>
      </c>
      <c r="J1042" s="5">
        <v>244</v>
      </c>
      <c r="P1042" s="62">
        <v>3</v>
      </c>
      <c r="Q1042" s="62"/>
      <c r="R1042" s="62"/>
      <c r="S1042" s="62" t="s">
        <v>1576</v>
      </c>
      <c r="T1042" s="62" t="s">
        <v>1576</v>
      </c>
      <c r="U1042" s="62" t="s">
        <v>1593</v>
      </c>
      <c r="V1042" s="62" t="s">
        <v>1915</v>
      </c>
      <c r="Z1042" s="5" t="s">
        <v>278</v>
      </c>
      <c r="AD1042" s="5" t="s">
        <v>1505</v>
      </c>
      <c r="AE1042" s="5" t="s">
        <v>159</v>
      </c>
      <c r="AF1042" s="152" t="s">
        <v>159</v>
      </c>
      <c r="AG1042" s="5" t="s">
        <v>160</v>
      </c>
      <c r="AH1042" s="155" t="s">
        <v>160</v>
      </c>
      <c r="AO1042" s="5" t="s">
        <v>839</v>
      </c>
      <c r="AP1042" s="5" t="s">
        <v>839</v>
      </c>
      <c r="AQ1042" s="5" t="s">
        <v>212</v>
      </c>
      <c r="AR1042" s="5" t="s">
        <v>192</v>
      </c>
      <c r="AW1042" s="5">
        <v>1173</v>
      </c>
      <c r="AX1042" s="5">
        <f>AW1042/40</f>
        <v>29.324999999999999</v>
      </c>
      <c r="AY1042" s="64"/>
      <c r="AZ1042" s="5" t="s">
        <v>841</v>
      </c>
      <c r="BD1042" s="5">
        <v>2928</v>
      </c>
      <c r="BE1042" s="5">
        <v>3002</v>
      </c>
      <c r="BM1042" s="5">
        <v>2.93</v>
      </c>
      <c r="BN1042" s="5">
        <v>3.59</v>
      </c>
      <c r="BO1042" s="5" t="s">
        <v>843</v>
      </c>
      <c r="DC1042" s="5">
        <v>80.08</v>
      </c>
      <c r="DD1042" s="5">
        <v>25.81</v>
      </c>
      <c r="DE1042" s="5" t="s">
        <v>847</v>
      </c>
      <c r="EJ1042" s="46"/>
      <c r="EL1042" s="46"/>
      <c r="FR1042" s="5" t="s">
        <v>842</v>
      </c>
      <c r="FT1042" s="5">
        <v>50</v>
      </c>
    </row>
    <row r="1043" spans="1:176" s="5" customFormat="1" x14ac:dyDescent="0.25">
      <c r="A1043" s="5">
        <v>50</v>
      </c>
      <c r="B1043" s="5" t="s">
        <v>835</v>
      </c>
      <c r="C1043" s="5" t="s">
        <v>836</v>
      </c>
      <c r="D1043" s="5">
        <v>2000</v>
      </c>
      <c r="E1043" s="5">
        <v>1997</v>
      </c>
      <c r="F1043" s="5" t="s">
        <v>837</v>
      </c>
      <c r="H1043" s="5">
        <v>41.84</v>
      </c>
      <c r="I1043" s="5">
        <v>-85.68</v>
      </c>
      <c r="J1043" s="5">
        <v>244</v>
      </c>
      <c r="P1043" s="62">
        <v>3</v>
      </c>
      <c r="Q1043" s="62"/>
      <c r="R1043" s="62"/>
      <c r="S1043" s="62" t="s">
        <v>1576</v>
      </c>
      <c r="T1043" s="62" t="s">
        <v>1576</v>
      </c>
      <c r="U1043" s="62" t="s">
        <v>1593</v>
      </c>
      <c r="V1043" s="62" t="s">
        <v>1915</v>
      </c>
      <c r="Z1043" s="5" t="s">
        <v>278</v>
      </c>
      <c r="AD1043" s="5" t="s">
        <v>1505</v>
      </c>
      <c r="AE1043" s="5" t="s">
        <v>159</v>
      </c>
      <c r="AF1043" s="152" t="s">
        <v>159</v>
      </c>
      <c r="AG1043" s="5" t="s">
        <v>160</v>
      </c>
      <c r="AH1043" s="155" t="s">
        <v>160</v>
      </c>
      <c r="AO1043" s="5" t="s">
        <v>840</v>
      </c>
      <c r="AP1043" s="5" t="s">
        <v>840</v>
      </c>
      <c r="AQ1043" s="5" t="s">
        <v>212</v>
      </c>
      <c r="AR1043" s="5" t="s">
        <v>192</v>
      </c>
      <c r="AW1043" s="5">
        <v>2010</v>
      </c>
      <c r="AX1043" s="5">
        <f>AW1043/56</f>
        <v>35.892857142857146</v>
      </c>
      <c r="AY1043" s="64"/>
      <c r="AZ1043" s="5" t="s">
        <v>841</v>
      </c>
      <c r="BD1043" s="5">
        <v>3407</v>
      </c>
      <c r="BE1043" s="5">
        <v>3622</v>
      </c>
      <c r="BM1043" s="5">
        <v>3.27</v>
      </c>
      <c r="BN1043" s="5">
        <v>2.96</v>
      </c>
      <c r="BO1043" s="5" t="s">
        <v>843</v>
      </c>
      <c r="EJ1043" s="46"/>
      <c r="EL1043" s="46"/>
      <c r="FR1043" s="5" t="s">
        <v>842</v>
      </c>
      <c r="FT1043" s="5">
        <v>50</v>
      </c>
    </row>
    <row r="1044" spans="1:176" s="5" customFormat="1" x14ac:dyDescent="0.25">
      <c r="A1044" s="5">
        <v>50</v>
      </c>
      <c r="B1044" s="5" t="s">
        <v>835</v>
      </c>
      <c r="C1044" s="5" t="s">
        <v>836</v>
      </c>
      <c r="D1044" s="5">
        <v>2000</v>
      </c>
      <c r="E1044" s="5">
        <v>1995</v>
      </c>
      <c r="F1044" s="5" t="s">
        <v>837</v>
      </c>
      <c r="H1044" s="5">
        <v>41.84</v>
      </c>
      <c r="I1044" s="5">
        <v>-85.68</v>
      </c>
      <c r="J1044" s="5">
        <v>244</v>
      </c>
      <c r="P1044" s="62">
        <v>1</v>
      </c>
      <c r="Q1044" s="62"/>
      <c r="R1044" s="62"/>
      <c r="S1044" s="62" t="s">
        <v>1581</v>
      </c>
      <c r="T1044" s="62" t="s">
        <v>1576</v>
      </c>
      <c r="U1044" s="62" t="s">
        <v>1593</v>
      </c>
      <c r="V1044" s="62" t="s">
        <v>1915</v>
      </c>
      <c r="Z1044" s="5" t="s">
        <v>278</v>
      </c>
      <c r="AD1044" s="5" t="s">
        <v>1505</v>
      </c>
      <c r="AE1044" s="5" t="s">
        <v>159</v>
      </c>
      <c r="AF1044" s="152" t="s">
        <v>159</v>
      </c>
      <c r="AG1044" s="5" t="s">
        <v>160</v>
      </c>
      <c r="AH1044" s="155" t="s">
        <v>160</v>
      </c>
      <c r="AO1044" s="5" t="s">
        <v>839</v>
      </c>
      <c r="AP1044" s="5" t="s">
        <v>839</v>
      </c>
      <c r="AQ1044" s="5" t="s">
        <v>212</v>
      </c>
      <c r="AR1044" s="5" t="s">
        <v>192</v>
      </c>
      <c r="AY1044" s="64"/>
      <c r="AZ1044" s="5" t="s">
        <v>844</v>
      </c>
      <c r="BM1044" s="5">
        <v>4.5</v>
      </c>
      <c r="BN1044" s="5">
        <v>2.27</v>
      </c>
      <c r="BO1044" s="5" t="s">
        <v>843</v>
      </c>
      <c r="EJ1044" s="46"/>
      <c r="EL1044" s="46"/>
      <c r="FR1044" s="5" t="s">
        <v>842</v>
      </c>
      <c r="FT1044" s="5">
        <v>50</v>
      </c>
    </row>
    <row r="1045" spans="1:176" s="5" customFormat="1" x14ac:dyDescent="0.25">
      <c r="A1045" s="5">
        <v>50</v>
      </c>
      <c r="B1045" s="5" t="s">
        <v>835</v>
      </c>
      <c r="C1045" s="5" t="s">
        <v>836</v>
      </c>
      <c r="D1045" s="5">
        <v>2000</v>
      </c>
      <c r="E1045" s="5">
        <v>1995</v>
      </c>
      <c r="F1045" s="5" t="s">
        <v>837</v>
      </c>
      <c r="H1045" s="5">
        <v>41.84</v>
      </c>
      <c r="I1045" s="5">
        <v>-85.68</v>
      </c>
      <c r="J1045" s="5">
        <v>244</v>
      </c>
      <c r="P1045" s="62">
        <v>1</v>
      </c>
      <c r="Q1045" s="62"/>
      <c r="R1045" s="62"/>
      <c r="S1045" s="62" t="s">
        <v>1581</v>
      </c>
      <c r="T1045" s="62" t="s">
        <v>1576</v>
      </c>
      <c r="U1045" s="62" t="s">
        <v>1593</v>
      </c>
      <c r="V1045" s="62" t="s">
        <v>1915</v>
      </c>
      <c r="Z1045" s="5" t="s">
        <v>278</v>
      </c>
      <c r="AD1045" s="5" t="s">
        <v>1505</v>
      </c>
      <c r="AE1045" s="5" t="s">
        <v>159</v>
      </c>
      <c r="AF1045" s="152" t="s">
        <v>159</v>
      </c>
      <c r="AG1045" s="5" t="s">
        <v>160</v>
      </c>
      <c r="AH1045" s="155" t="s">
        <v>160</v>
      </c>
      <c r="AO1045" s="5" t="s">
        <v>840</v>
      </c>
      <c r="AP1045" s="5" t="s">
        <v>840</v>
      </c>
      <c r="AQ1045" s="5" t="s">
        <v>212</v>
      </c>
      <c r="AR1045" s="5" t="s">
        <v>192</v>
      </c>
      <c r="AY1045" s="64"/>
      <c r="AZ1045" s="5" t="s">
        <v>844</v>
      </c>
      <c r="BM1045" s="5">
        <v>8.07</v>
      </c>
      <c r="BN1045" s="5">
        <v>7</v>
      </c>
      <c r="BO1045" s="5" t="s">
        <v>843</v>
      </c>
      <c r="EJ1045" s="46"/>
      <c r="EL1045" s="46"/>
      <c r="FR1045" s="5" t="s">
        <v>842</v>
      </c>
      <c r="FT1045" s="5">
        <v>50</v>
      </c>
    </row>
    <row r="1046" spans="1:176" s="31" customFormat="1" x14ac:dyDescent="0.25">
      <c r="A1046" s="31">
        <v>50</v>
      </c>
      <c r="B1046" s="31" t="s">
        <v>835</v>
      </c>
      <c r="C1046" s="31" t="s">
        <v>836</v>
      </c>
      <c r="D1046" s="31">
        <v>2000</v>
      </c>
      <c r="E1046" s="31">
        <v>1996</v>
      </c>
      <c r="F1046" s="31" t="s">
        <v>837</v>
      </c>
      <c r="H1046" s="31">
        <v>41.84</v>
      </c>
      <c r="I1046" s="31">
        <v>-85.68</v>
      </c>
      <c r="J1046" s="31">
        <v>244</v>
      </c>
      <c r="P1046" s="56">
        <v>2</v>
      </c>
      <c r="Q1046" s="56"/>
      <c r="R1046" s="56"/>
      <c r="S1046" s="56" t="s">
        <v>1581</v>
      </c>
      <c r="T1046" s="56" t="s">
        <v>1576</v>
      </c>
      <c r="U1046" s="56" t="s">
        <v>1593</v>
      </c>
      <c r="V1046" s="56" t="s">
        <v>1915</v>
      </c>
      <c r="Z1046" s="31" t="s">
        <v>278</v>
      </c>
      <c r="AD1046" s="31" t="s">
        <v>1505</v>
      </c>
      <c r="AE1046" s="31" t="s">
        <v>159</v>
      </c>
      <c r="AF1046" s="152" t="s">
        <v>159</v>
      </c>
      <c r="AG1046" s="31" t="s">
        <v>160</v>
      </c>
      <c r="AH1046" s="155" t="s">
        <v>160</v>
      </c>
      <c r="AO1046" s="31" t="s">
        <v>839</v>
      </c>
      <c r="AP1046" s="31" t="s">
        <v>839</v>
      </c>
      <c r="AQ1046" s="31" t="s">
        <v>212</v>
      </c>
      <c r="AR1046" s="31" t="s">
        <v>192</v>
      </c>
      <c r="AW1046" s="31">
        <v>754</v>
      </c>
      <c r="AX1046" s="31">
        <f>AW1046/20</f>
        <v>37.700000000000003</v>
      </c>
      <c r="AZ1046" s="31" t="s">
        <v>844</v>
      </c>
      <c r="BM1046" s="31">
        <v>1.27</v>
      </c>
      <c r="BN1046" s="31">
        <v>2.19</v>
      </c>
      <c r="BO1046" s="31" t="s">
        <v>843</v>
      </c>
      <c r="FR1046" s="5" t="s">
        <v>842</v>
      </c>
      <c r="FT1046" s="31">
        <v>50</v>
      </c>
    </row>
    <row r="1047" spans="1:176" s="31" customFormat="1" x14ac:dyDescent="0.25">
      <c r="A1047" s="31">
        <v>50</v>
      </c>
      <c r="B1047" s="31" t="s">
        <v>835</v>
      </c>
      <c r="C1047" s="31" t="s">
        <v>836</v>
      </c>
      <c r="D1047" s="31">
        <v>2000</v>
      </c>
      <c r="E1047" s="31">
        <v>1996</v>
      </c>
      <c r="F1047" s="31" t="s">
        <v>837</v>
      </c>
      <c r="H1047" s="31">
        <v>41.84</v>
      </c>
      <c r="I1047" s="31">
        <v>-85.68</v>
      </c>
      <c r="J1047" s="31">
        <v>244</v>
      </c>
      <c r="P1047" s="56">
        <v>2</v>
      </c>
      <c r="Q1047" s="56"/>
      <c r="R1047" s="56"/>
      <c r="S1047" s="56" t="s">
        <v>1581</v>
      </c>
      <c r="T1047" s="56" t="s">
        <v>1576</v>
      </c>
      <c r="U1047" s="56" t="s">
        <v>1593</v>
      </c>
      <c r="V1047" s="56" t="s">
        <v>1915</v>
      </c>
      <c r="Z1047" s="31" t="s">
        <v>278</v>
      </c>
      <c r="AD1047" s="31" t="s">
        <v>1505</v>
      </c>
      <c r="AE1047" s="31" t="s">
        <v>159</v>
      </c>
      <c r="AF1047" s="152" t="s">
        <v>159</v>
      </c>
      <c r="AG1047" s="31" t="s">
        <v>160</v>
      </c>
      <c r="AH1047" s="155" t="s">
        <v>160</v>
      </c>
      <c r="AO1047" s="31" t="s">
        <v>840</v>
      </c>
      <c r="AP1047" s="31" t="s">
        <v>840</v>
      </c>
      <c r="AQ1047" s="31" t="s">
        <v>212</v>
      </c>
      <c r="AR1047" s="31" t="s">
        <v>192</v>
      </c>
      <c r="AW1047" s="31">
        <v>1763</v>
      </c>
      <c r="AX1047" s="31">
        <f>AW1047/45.4</f>
        <v>38.832599118942731</v>
      </c>
      <c r="AZ1047" s="31" t="s">
        <v>844</v>
      </c>
      <c r="BM1047" s="31">
        <v>2.0299999999999998</v>
      </c>
      <c r="BN1047" s="31">
        <v>1.62</v>
      </c>
      <c r="BO1047" s="31" t="s">
        <v>843</v>
      </c>
      <c r="FR1047" s="5" t="s">
        <v>842</v>
      </c>
      <c r="FT1047" s="31">
        <v>50</v>
      </c>
    </row>
    <row r="1048" spans="1:176" s="5" customFormat="1" x14ac:dyDescent="0.25">
      <c r="A1048" s="5">
        <v>50</v>
      </c>
      <c r="B1048" s="5" t="s">
        <v>835</v>
      </c>
      <c r="C1048" s="5" t="s">
        <v>836</v>
      </c>
      <c r="D1048" s="5">
        <v>2000</v>
      </c>
      <c r="E1048" s="5">
        <v>1997</v>
      </c>
      <c r="F1048" s="5" t="s">
        <v>837</v>
      </c>
      <c r="H1048" s="5">
        <v>41.84</v>
      </c>
      <c r="I1048" s="5">
        <v>-85.68</v>
      </c>
      <c r="J1048" s="5">
        <v>244</v>
      </c>
      <c r="P1048" s="62">
        <v>3</v>
      </c>
      <c r="Q1048" s="62"/>
      <c r="R1048" s="62"/>
      <c r="S1048" s="62" t="s">
        <v>1581</v>
      </c>
      <c r="T1048" s="62" t="s">
        <v>1576</v>
      </c>
      <c r="U1048" s="62" t="s">
        <v>1593</v>
      </c>
      <c r="V1048" s="62" t="s">
        <v>1915</v>
      </c>
      <c r="Z1048" s="5" t="s">
        <v>278</v>
      </c>
      <c r="AD1048" s="5" t="s">
        <v>1505</v>
      </c>
      <c r="AE1048" s="5" t="s">
        <v>159</v>
      </c>
      <c r="AF1048" s="152" t="s">
        <v>159</v>
      </c>
      <c r="AG1048" s="5" t="s">
        <v>160</v>
      </c>
      <c r="AH1048" s="155" t="s">
        <v>160</v>
      </c>
      <c r="AO1048" s="5" t="s">
        <v>839</v>
      </c>
      <c r="AP1048" s="5" t="s">
        <v>839</v>
      </c>
      <c r="AQ1048" s="5" t="s">
        <v>212</v>
      </c>
      <c r="AR1048" s="5" t="s">
        <v>192</v>
      </c>
      <c r="AW1048" s="5">
        <v>1173</v>
      </c>
      <c r="AX1048" s="5">
        <f>AW1048/40</f>
        <v>29.324999999999999</v>
      </c>
      <c r="AY1048" s="64"/>
      <c r="AZ1048" s="5" t="s">
        <v>844</v>
      </c>
      <c r="BM1048" s="5">
        <v>2.06</v>
      </c>
      <c r="BN1048" s="5">
        <v>2.31</v>
      </c>
      <c r="BO1048" s="5" t="s">
        <v>843</v>
      </c>
      <c r="EJ1048" s="46"/>
      <c r="EL1048" s="46"/>
      <c r="FR1048" s="5" t="s">
        <v>842</v>
      </c>
      <c r="FT1048" s="5">
        <v>50</v>
      </c>
    </row>
    <row r="1049" spans="1:176" s="5" customFormat="1" x14ac:dyDescent="0.25">
      <c r="A1049" s="5">
        <v>50</v>
      </c>
      <c r="B1049" s="5" t="s">
        <v>835</v>
      </c>
      <c r="C1049" s="5" t="s">
        <v>836</v>
      </c>
      <c r="D1049" s="5">
        <v>2000</v>
      </c>
      <c r="E1049" s="5">
        <v>1997</v>
      </c>
      <c r="F1049" s="5" t="s">
        <v>837</v>
      </c>
      <c r="H1049" s="5">
        <v>41.84</v>
      </c>
      <c r="I1049" s="5">
        <v>-85.68</v>
      </c>
      <c r="J1049" s="5">
        <v>244</v>
      </c>
      <c r="P1049" s="62">
        <v>3</v>
      </c>
      <c r="Q1049" s="62"/>
      <c r="R1049" s="62"/>
      <c r="S1049" s="62" t="s">
        <v>1581</v>
      </c>
      <c r="T1049" s="62" t="s">
        <v>1576</v>
      </c>
      <c r="U1049" s="62" t="s">
        <v>1593</v>
      </c>
      <c r="V1049" s="62" t="s">
        <v>1915</v>
      </c>
      <c r="Z1049" s="5" t="s">
        <v>278</v>
      </c>
      <c r="AD1049" s="5" t="s">
        <v>1505</v>
      </c>
      <c r="AE1049" s="5" t="s">
        <v>159</v>
      </c>
      <c r="AF1049" s="152" t="s">
        <v>159</v>
      </c>
      <c r="AG1049" s="5" t="s">
        <v>160</v>
      </c>
      <c r="AH1049" s="155" t="s">
        <v>160</v>
      </c>
      <c r="AO1049" s="5" t="s">
        <v>840</v>
      </c>
      <c r="AP1049" s="5" t="s">
        <v>840</v>
      </c>
      <c r="AQ1049" s="5" t="s">
        <v>212</v>
      </c>
      <c r="AR1049" s="5" t="s">
        <v>192</v>
      </c>
      <c r="AW1049" s="5">
        <v>2010</v>
      </c>
      <c r="AX1049" s="5">
        <f>AW1049/56</f>
        <v>35.892857142857146</v>
      </c>
      <c r="AY1049" s="64"/>
      <c r="AZ1049" s="5" t="s">
        <v>844</v>
      </c>
      <c r="BM1049" s="5">
        <v>2.3199999999999998</v>
      </c>
      <c r="BN1049" s="5">
        <v>2.82</v>
      </c>
      <c r="BO1049" s="5" t="s">
        <v>843</v>
      </c>
      <c r="EJ1049" s="46"/>
      <c r="EL1049" s="46"/>
      <c r="FR1049" s="5" t="s">
        <v>842</v>
      </c>
      <c r="FT1049" s="5">
        <v>50</v>
      </c>
    </row>
    <row r="1050" spans="1:176" s="5" customFormat="1" x14ac:dyDescent="0.25">
      <c r="A1050" s="5">
        <v>50</v>
      </c>
      <c r="B1050" s="5" t="s">
        <v>835</v>
      </c>
      <c r="C1050" s="5" t="s">
        <v>836</v>
      </c>
      <c r="D1050" s="5">
        <v>2000</v>
      </c>
      <c r="E1050" s="5">
        <v>1995</v>
      </c>
      <c r="F1050" s="5" t="s">
        <v>837</v>
      </c>
      <c r="H1050" s="5">
        <v>41.84</v>
      </c>
      <c r="I1050" s="5">
        <v>-85.68</v>
      </c>
      <c r="J1050" s="5">
        <v>244</v>
      </c>
      <c r="P1050" s="62">
        <v>1</v>
      </c>
      <c r="Q1050" s="62"/>
      <c r="R1050" s="62"/>
      <c r="S1050" s="62" t="s">
        <v>1582</v>
      </c>
      <c r="T1050" s="62" t="s">
        <v>1576</v>
      </c>
      <c r="U1050" s="62" t="s">
        <v>1593</v>
      </c>
      <c r="V1050" s="62" t="s">
        <v>1915</v>
      </c>
      <c r="Z1050" s="5" t="s">
        <v>278</v>
      </c>
      <c r="AD1050" s="5" t="s">
        <v>1505</v>
      </c>
      <c r="AE1050" s="5" t="s">
        <v>159</v>
      </c>
      <c r="AF1050" s="152" t="s">
        <v>159</v>
      </c>
      <c r="AG1050" s="5" t="s">
        <v>160</v>
      </c>
      <c r="AH1050" s="155" t="s">
        <v>160</v>
      </c>
      <c r="AO1050" s="5" t="s">
        <v>839</v>
      </c>
      <c r="AP1050" s="5" t="s">
        <v>839</v>
      </c>
      <c r="AQ1050" s="5" t="s">
        <v>212</v>
      </c>
      <c r="AR1050" s="5" t="s">
        <v>192</v>
      </c>
      <c r="AY1050" s="64"/>
      <c r="AZ1050" s="5" t="s">
        <v>845</v>
      </c>
      <c r="BM1050" s="5">
        <v>4.45</v>
      </c>
      <c r="BN1050" s="5">
        <v>2.08</v>
      </c>
      <c r="BO1050" s="5" t="s">
        <v>843</v>
      </c>
      <c r="EJ1050" s="46"/>
      <c r="EL1050" s="46"/>
      <c r="FR1050" s="5" t="s">
        <v>842</v>
      </c>
      <c r="FT1050" s="5">
        <v>50</v>
      </c>
    </row>
    <row r="1051" spans="1:176" s="5" customFormat="1" x14ac:dyDescent="0.25">
      <c r="A1051" s="5">
        <v>50</v>
      </c>
      <c r="B1051" s="5" t="s">
        <v>835</v>
      </c>
      <c r="C1051" s="5" t="s">
        <v>836</v>
      </c>
      <c r="D1051" s="5">
        <v>2000</v>
      </c>
      <c r="E1051" s="5">
        <v>1995</v>
      </c>
      <c r="F1051" s="5" t="s">
        <v>837</v>
      </c>
      <c r="H1051" s="5">
        <v>41.84</v>
      </c>
      <c r="I1051" s="5">
        <v>-85.68</v>
      </c>
      <c r="J1051" s="5">
        <v>244</v>
      </c>
      <c r="P1051" s="62">
        <v>1</v>
      </c>
      <c r="Q1051" s="62"/>
      <c r="R1051" s="62"/>
      <c r="S1051" s="62" t="s">
        <v>1582</v>
      </c>
      <c r="T1051" s="62" t="s">
        <v>1576</v>
      </c>
      <c r="U1051" s="62" t="s">
        <v>1593</v>
      </c>
      <c r="V1051" s="62" t="s">
        <v>1915</v>
      </c>
      <c r="Z1051" s="5" t="s">
        <v>278</v>
      </c>
      <c r="AD1051" s="5" t="s">
        <v>1505</v>
      </c>
      <c r="AE1051" s="5" t="s">
        <v>159</v>
      </c>
      <c r="AF1051" s="152" t="s">
        <v>159</v>
      </c>
      <c r="AG1051" s="5" t="s">
        <v>160</v>
      </c>
      <c r="AH1051" s="155" t="s">
        <v>160</v>
      </c>
      <c r="AO1051" s="5" t="s">
        <v>840</v>
      </c>
      <c r="AP1051" s="5" t="s">
        <v>840</v>
      </c>
      <c r="AQ1051" s="5" t="s">
        <v>212</v>
      </c>
      <c r="AR1051" s="5" t="s">
        <v>192</v>
      </c>
      <c r="AY1051" s="64"/>
      <c r="AZ1051" s="5" t="s">
        <v>845</v>
      </c>
      <c r="BM1051" s="5">
        <v>19.559999999999999</v>
      </c>
      <c r="BN1051" s="5">
        <v>13.24</v>
      </c>
      <c r="BO1051" s="5" t="s">
        <v>843</v>
      </c>
      <c r="EJ1051" s="46"/>
      <c r="EL1051" s="46"/>
      <c r="FR1051" s="5" t="s">
        <v>842</v>
      </c>
      <c r="FT1051" s="5">
        <v>50</v>
      </c>
    </row>
    <row r="1052" spans="1:176" s="31" customFormat="1" x14ac:dyDescent="0.25">
      <c r="A1052" s="31">
        <v>50</v>
      </c>
      <c r="B1052" s="31" t="s">
        <v>835</v>
      </c>
      <c r="C1052" s="31" t="s">
        <v>836</v>
      </c>
      <c r="D1052" s="31">
        <v>2000</v>
      </c>
      <c r="E1052" s="31">
        <v>1996</v>
      </c>
      <c r="F1052" s="31" t="s">
        <v>837</v>
      </c>
      <c r="H1052" s="31">
        <v>41.84</v>
      </c>
      <c r="I1052" s="31">
        <v>-85.68</v>
      </c>
      <c r="J1052" s="31">
        <v>244</v>
      </c>
      <c r="P1052" s="56">
        <v>2</v>
      </c>
      <c r="Q1052" s="56"/>
      <c r="R1052" s="56"/>
      <c r="S1052" s="56" t="s">
        <v>1582</v>
      </c>
      <c r="T1052" s="56" t="s">
        <v>1576</v>
      </c>
      <c r="U1052" s="56" t="s">
        <v>1593</v>
      </c>
      <c r="V1052" s="56" t="s">
        <v>1915</v>
      </c>
      <c r="Z1052" s="31" t="s">
        <v>278</v>
      </c>
      <c r="AD1052" s="31" t="s">
        <v>1505</v>
      </c>
      <c r="AE1052" s="31" t="s">
        <v>159</v>
      </c>
      <c r="AF1052" s="152" t="s">
        <v>159</v>
      </c>
      <c r="AG1052" s="31" t="s">
        <v>160</v>
      </c>
      <c r="AH1052" s="155" t="s">
        <v>160</v>
      </c>
      <c r="AO1052" s="31" t="s">
        <v>839</v>
      </c>
      <c r="AP1052" s="31" t="s">
        <v>839</v>
      </c>
      <c r="AQ1052" s="31" t="s">
        <v>212</v>
      </c>
      <c r="AR1052" s="31" t="s">
        <v>192</v>
      </c>
      <c r="AW1052" s="31">
        <v>754</v>
      </c>
      <c r="AX1052" s="31">
        <f>AW1052/20</f>
        <v>37.700000000000003</v>
      </c>
      <c r="AZ1052" s="31" t="s">
        <v>845</v>
      </c>
      <c r="BM1052" s="31">
        <v>1.44</v>
      </c>
      <c r="BN1052" s="31">
        <v>1.3</v>
      </c>
      <c r="BO1052" s="31" t="s">
        <v>843</v>
      </c>
      <c r="FR1052" s="5" t="s">
        <v>842</v>
      </c>
      <c r="FT1052" s="31">
        <v>50</v>
      </c>
    </row>
    <row r="1053" spans="1:176" s="31" customFormat="1" x14ac:dyDescent="0.25">
      <c r="A1053" s="31">
        <v>50</v>
      </c>
      <c r="B1053" s="31" t="s">
        <v>835</v>
      </c>
      <c r="C1053" s="31" t="s">
        <v>836</v>
      </c>
      <c r="D1053" s="31">
        <v>2000</v>
      </c>
      <c r="E1053" s="31">
        <v>1996</v>
      </c>
      <c r="F1053" s="31" t="s">
        <v>837</v>
      </c>
      <c r="H1053" s="31">
        <v>41.84</v>
      </c>
      <c r="I1053" s="31">
        <v>-85.68</v>
      </c>
      <c r="J1053" s="31">
        <v>244</v>
      </c>
      <c r="P1053" s="56">
        <v>2</v>
      </c>
      <c r="Q1053" s="56"/>
      <c r="R1053" s="56"/>
      <c r="S1053" s="56" t="s">
        <v>1582</v>
      </c>
      <c r="T1053" s="56" t="s">
        <v>1576</v>
      </c>
      <c r="U1053" s="56" t="s">
        <v>1593</v>
      </c>
      <c r="V1053" s="56" t="s">
        <v>1915</v>
      </c>
      <c r="Z1053" s="31" t="s">
        <v>278</v>
      </c>
      <c r="AD1053" s="31" t="s">
        <v>1505</v>
      </c>
      <c r="AE1053" s="31" t="s">
        <v>159</v>
      </c>
      <c r="AF1053" s="152" t="s">
        <v>159</v>
      </c>
      <c r="AG1053" s="31" t="s">
        <v>160</v>
      </c>
      <c r="AH1053" s="155" t="s">
        <v>160</v>
      </c>
      <c r="AO1053" s="31" t="s">
        <v>840</v>
      </c>
      <c r="AP1053" s="31" t="s">
        <v>840</v>
      </c>
      <c r="AQ1053" s="31" t="s">
        <v>212</v>
      </c>
      <c r="AR1053" s="31" t="s">
        <v>192</v>
      </c>
      <c r="AW1053" s="31">
        <v>1763</v>
      </c>
      <c r="AX1053" s="31">
        <f>AW1053/45.4</f>
        <v>38.832599118942731</v>
      </c>
      <c r="AZ1053" s="31" t="s">
        <v>845</v>
      </c>
      <c r="BM1053" s="31">
        <v>1.36</v>
      </c>
      <c r="BN1053" s="31">
        <v>1.1200000000000001</v>
      </c>
      <c r="BO1053" s="31" t="s">
        <v>843</v>
      </c>
      <c r="FR1053" s="5" t="s">
        <v>842</v>
      </c>
      <c r="FT1053" s="31">
        <v>50</v>
      </c>
    </row>
    <row r="1054" spans="1:176" s="5" customFormat="1" x14ac:dyDescent="0.25">
      <c r="A1054" s="5">
        <v>50</v>
      </c>
      <c r="B1054" s="5" t="s">
        <v>835</v>
      </c>
      <c r="C1054" s="5" t="s">
        <v>836</v>
      </c>
      <c r="D1054" s="5">
        <v>2000</v>
      </c>
      <c r="E1054" s="5">
        <v>1997</v>
      </c>
      <c r="F1054" s="5" t="s">
        <v>837</v>
      </c>
      <c r="H1054" s="5">
        <v>41.84</v>
      </c>
      <c r="I1054" s="5">
        <v>-85.68</v>
      </c>
      <c r="J1054" s="5">
        <v>244</v>
      </c>
      <c r="P1054" s="62">
        <v>3</v>
      </c>
      <c r="Q1054" s="62"/>
      <c r="R1054" s="62"/>
      <c r="S1054" s="62" t="s">
        <v>1582</v>
      </c>
      <c r="T1054" s="62" t="s">
        <v>1576</v>
      </c>
      <c r="U1054" s="62" t="s">
        <v>1593</v>
      </c>
      <c r="V1054" s="62" t="s">
        <v>1915</v>
      </c>
      <c r="Z1054" s="5" t="s">
        <v>278</v>
      </c>
      <c r="AD1054" s="5" t="s">
        <v>1505</v>
      </c>
      <c r="AE1054" s="5" t="s">
        <v>159</v>
      </c>
      <c r="AF1054" s="152" t="s">
        <v>159</v>
      </c>
      <c r="AG1054" s="5" t="s">
        <v>160</v>
      </c>
      <c r="AH1054" s="155" t="s">
        <v>160</v>
      </c>
      <c r="AO1054" s="5" t="s">
        <v>839</v>
      </c>
      <c r="AP1054" s="5" t="s">
        <v>839</v>
      </c>
      <c r="AQ1054" s="5" t="s">
        <v>212</v>
      </c>
      <c r="AR1054" s="5" t="s">
        <v>192</v>
      </c>
      <c r="AW1054" s="5">
        <v>1173</v>
      </c>
      <c r="AX1054" s="5">
        <f>AW1054/40</f>
        <v>29.324999999999999</v>
      </c>
      <c r="AY1054" s="64"/>
      <c r="AZ1054" s="5" t="s">
        <v>845</v>
      </c>
      <c r="BM1054" s="5">
        <v>1.81</v>
      </c>
      <c r="BN1054" s="5">
        <v>1.58</v>
      </c>
      <c r="BO1054" s="5" t="s">
        <v>843</v>
      </c>
      <c r="EJ1054" s="46"/>
      <c r="EL1054" s="46"/>
      <c r="FR1054" s="5" t="s">
        <v>842</v>
      </c>
      <c r="FT1054" s="5">
        <v>50</v>
      </c>
    </row>
    <row r="1055" spans="1:176" s="5" customFormat="1" x14ac:dyDescent="0.25">
      <c r="A1055" s="5">
        <v>50</v>
      </c>
      <c r="B1055" s="5" t="s">
        <v>835</v>
      </c>
      <c r="C1055" s="5" t="s">
        <v>836</v>
      </c>
      <c r="D1055" s="5">
        <v>2000</v>
      </c>
      <c r="E1055" s="5">
        <v>1997</v>
      </c>
      <c r="F1055" s="5" t="s">
        <v>837</v>
      </c>
      <c r="H1055" s="5">
        <v>41.84</v>
      </c>
      <c r="I1055" s="5">
        <v>-85.68</v>
      </c>
      <c r="J1055" s="5">
        <v>244</v>
      </c>
      <c r="P1055" s="62">
        <v>3</v>
      </c>
      <c r="Q1055" s="62"/>
      <c r="R1055" s="62"/>
      <c r="S1055" s="62" t="s">
        <v>1582</v>
      </c>
      <c r="T1055" s="62" t="s">
        <v>1576</v>
      </c>
      <c r="U1055" s="62" t="s">
        <v>1593</v>
      </c>
      <c r="V1055" s="62" t="s">
        <v>1915</v>
      </c>
      <c r="Z1055" s="5" t="s">
        <v>278</v>
      </c>
      <c r="AD1055" s="5" t="s">
        <v>1505</v>
      </c>
      <c r="AE1055" s="5" t="s">
        <v>159</v>
      </c>
      <c r="AF1055" s="152" t="s">
        <v>159</v>
      </c>
      <c r="AG1055" s="5" t="s">
        <v>160</v>
      </c>
      <c r="AH1055" s="155" t="s">
        <v>160</v>
      </c>
      <c r="AO1055" s="5" t="s">
        <v>840</v>
      </c>
      <c r="AP1055" s="5" t="s">
        <v>840</v>
      </c>
      <c r="AQ1055" s="5" t="s">
        <v>212</v>
      </c>
      <c r="AR1055" s="5" t="s">
        <v>192</v>
      </c>
      <c r="AW1055" s="5">
        <v>2010</v>
      </c>
      <c r="AX1055" s="5">
        <f>AW1055/56</f>
        <v>35.892857142857146</v>
      </c>
      <c r="AY1055" s="64"/>
      <c r="AZ1055" s="5" t="s">
        <v>845</v>
      </c>
      <c r="BM1055" s="5">
        <v>2.23</v>
      </c>
      <c r="BN1055" s="5">
        <v>1.91</v>
      </c>
      <c r="BO1055" s="5" t="s">
        <v>843</v>
      </c>
      <c r="EJ1055" s="46"/>
      <c r="EL1055" s="46"/>
      <c r="FR1055" s="5" t="s">
        <v>842</v>
      </c>
      <c r="FT1055" s="5">
        <v>50</v>
      </c>
    </row>
    <row r="1056" spans="1:176" s="5" customFormat="1" x14ac:dyDescent="0.25">
      <c r="A1056" s="5">
        <v>50</v>
      </c>
      <c r="B1056" s="5" t="s">
        <v>835</v>
      </c>
      <c r="C1056" s="5" t="s">
        <v>836</v>
      </c>
      <c r="D1056" s="5">
        <v>2000</v>
      </c>
      <c r="E1056" s="5">
        <v>1995</v>
      </c>
      <c r="F1056" s="5" t="s">
        <v>837</v>
      </c>
      <c r="H1056" s="5">
        <v>41.84</v>
      </c>
      <c r="I1056" s="5">
        <v>-85.68</v>
      </c>
      <c r="J1056" s="5">
        <v>244</v>
      </c>
      <c r="P1056" s="62">
        <v>1</v>
      </c>
      <c r="Q1056" s="62"/>
      <c r="R1056" s="62"/>
      <c r="S1056" s="62" t="s">
        <v>1583</v>
      </c>
      <c r="T1056" s="62" t="s">
        <v>1576</v>
      </c>
      <c r="U1056" s="62" t="s">
        <v>1593</v>
      </c>
      <c r="V1056" s="62" t="s">
        <v>1915</v>
      </c>
      <c r="Z1056" s="5" t="s">
        <v>278</v>
      </c>
      <c r="AD1056" s="5" t="s">
        <v>1505</v>
      </c>
      <c r="AE1056" s="5" t="s">
        <v>159</v>
      </c>
      <c r="AF1056" s="152" t="s">
        <v>159</v>
      </c>
      <c r="AG1056" s="5" t="s">
        <v>160</v>
      </c>
      <c r="AH1056" s="155" t="s">
        <v>160</v>
      </c>
      <c r="AO1056" s="5" t="s">
        <v>839</v>
      </c>
      <c r="AP1056" s="5" t="s">
        <v>839</v>
      </c>
      <c r="AQ1056" s="5" t="s">
        <v>212</v>
      </c>
      <c r="AR1056" s="5" t="s">
        <v>192</v>
      </c>
      <c r="AY1056" s="64"/>
      <c r="AZ1056" s="5" t="s">
        <v>846</v>
      </c>
      <c r="BM1056" s="5">
        <v>5.38</v>
      </c>
      <c r="BN1056" s="5">
        <v>1.92</v>
      </c>
      <c r="BO1056" s="5" t="s">
        <v>843</v>
      </c>
      <c r="EJ1056" s="46"/>
      <c r="EL1056" s="46"/>
      <c r="FR1056" s="5" t="s">
        <v>842</v>
      </c>
      <c r="FT1056" s="5">
        <v>50</v>
      </c>
    </row>
    <row r="1057" spans="1:176" s="5" customFormat="1" x14ac:dyDescent="0.25">
      <c r="A1057" s="5">
        <v>50</v>
      </c>
      <c r="B1057" s="5" t="s">
        <v>835</v>
      </c>
      <c r="C1057" s="5" t="s">
        <v>836</v>
      </c>
      <c r="D1057" s="5">
        <v>2000</v>
      </c>
      <c r="E1057" s="5">
        <v>1995</v>
      </c>
      <c r="F1057" s="5" t="s">
        <v>837</v>
      </c>
      <c r="H1057" s="5">
        <v>41.84</v>
      </c>
      <c r="I1057" s="5">
        <v>-85.68</v>
      </c>
      <c r="J1057" s="5">
        <v>244</v>
      </c>
      <c r="P1057" s="62">
        <v>1</v>
      </c>
      <c r="Q1057" s="62"/>
      <c r="R1057" s="62"/>
      <c r="S1057" s="62" t="s">
        <v>1583</v>
      </c>
      <c r="T1057" s="62" t="s">
        <v>1576</v>
      </c>
      <c r="U1057" s="62" t="s">
        <v>1593</v>
      </c>
      <c r="V1057" s="62" t="s">
        <v>1915</v>
      </c>
      <c r="Z1057" s="5" t="s">
        <v>278</v>
      </c>
      <c r="AD1057" s="5" t="s">
        <v>1505</v>
      </c>
      <c r="AE1057" s="5" t="s">
        <v>159</v>
      </c>
      <c r="AF1057" s="152" t="s">
        <v>159</v>
      </c>
      <c r="AG1057" s="5" t="s">
        <v>160</v>
      </c>
      <c r="AH1057" s="155" t="s">
        <v>160</v>
      </c>
      <c r="AO1057" s="5" t="s">
        <v>840</v>
      </c>
      <c r="AP1057" s="5" t="s">
        <v>840</v>
      </c>
      <c r="AQ1057" s="5" t="s">
        <v>212</v>
      </c>
      <c r="AR1057" s="5" t="s">
        <v>192</v>
      </c>
      <c r="AY1057" s="64"/>
      <c r="AZ1057" s="5" t="s">
        <v>846</v>
      </c>
      <c r="BM1057" s="5">
        <v>17.93</v>
      </c>
      <c r="BN1057" s="5">
        <v>8.61</v>
      </c>
      <c r="BO1057" s="5" t="s">
        <v>843</v>
      </c>
      <c r="EJ1057" s="46"/>
      <c r="EL1057" s="46"/>
      <c r="FR1057" s="5" t="s">
        <v>842</v>
      </c>
      <c r="FT1057" s="5">
        <v>50</v>
      </c>
    </row>
    <row r="1058" spans="1:176" s="31" customFormat="1" x14ac:dyDescent="0.25">
      <c r="A1058" s="31">
        <v>50</v>
      </c>
      <c r="B1058" s="31" t="s">
        <v>835</v>
      </c>
      <c r="C1058" s="31" t="s">
        <v>836</v>
      </c>
      <c r="D1058" s="31">
        <v>2000</v>
      </c>
      <c r="E1058" s="31">
        <v>1996</v>
      </c>
      <c r="F1058" s="31" t="s">
        <v>837</v>
      </c>
      <c r="H1058" s="31">
        <v>41.84</v>
      </c>
      <c r="I1058" s="31">
        <v>-85.68</v>
      </c>
      <c r="J1058" s="31">
        <v>244</v>
      </c>
      <c r="P1058" s="56">
        <v>2</v>
      </c>
      <c r="Q1058" s="56"/>
      <c r="R1058" s="56"/>
      <c r="S1058" s="56" t="s">
        <v>1583</v>
      </c>
      <c r="T1058" s="56" t="s">
        <v>1576</v>
      </c>
      <c r="U1058" s="56" t="s">
        <v>1593</v>
      </c>
      <c r="V1058" s="56" t="s">
        <v>1915</v>
      </c>
      <c r="Z1058" s="31" t="s">
        <v>278</v>
      </c>
      <c r="AD1058" s="31" t="s">
        <v>1505</v>
      </c>
      <c r="AE1058" s="31" t="s">
        <v>159</v>
      </c>
      <c r="AF1058" s="152" t="s">
        <v>159</v>
      </c>
      <c r="AG1058" s="31" t="s">
        <v>160</v>
      </c>
      <c r="AH1058" s="155" t="s">
        <v>160</v>
      </c>
      <c r="AO1058" s="31" t="s">
        <v>839</v>
      </c>
      <c r="AP1058" s="31" t="s">
        <v>839</v>
      </c>
      <c r="AQ1058" s="31" t="s">
        <v>212</v>
      </c>
      <c r="AR1058" s="31" t="s">
        <v>192</v>
      </c>
      <c r="AW1058" s="31">
        <v>754</v>
      </c>
      <c r="AX1058" s="31">
        <f>AW1058/20</f>
        <v>37.700000000000003</v>
      </c>
      <c r="AZ1058" s="31" t="s">
        <v>846</v>
      </c>
      <c r="BM1058" s="31">
        <v>1.5</v>
      </c>
      <c r="BN1058" s="31">
        <v>1.29</v>
      </c>
      <c r="BO1058" s="31" t="s">
        <v>843</v>
      </c>
      <c r="FR1058" s="5" t="s">
        <v>842</v>
      </c>
      <c r="FT1058" s="31">
        <v>50</v>
      </c>
    </row>
    <row r="1059" spans="1:176" s="31" customFormat="1" x14ac:dyDescent="0.25">
      <c r="A1059" s="31">
        <v>50</v>
      </c>
      <c r="B1059" s="31" t="s">
        <v>835</v>
      </c>
      <c r="C1059" s="31" t="s">
        <v>836</v>
      </c>
      <c r="D1059" s="31">
        <v>2000</v>
      </c>
      <c r="E1059" s="31">
        <v>1996</v>
      </c>
      <c r="F1059" s="31" t="s">
        <v>837</v>
      </c>
      <c r="H1059" s="31">
        <v>41.84</v>
      </c>
      <c r="I1059" s="31">
        <v>-85.68</v>
      </c>
      <c r="J1059" s="31">
        <v>244</v>
      </c>
      <c r="P1059" s="56">
        <v>2</v>
      </c>
      <c r="Q1059" s="56"/>
      <c r="R1059" s="56"/>
      <c r="S1059" s="56" t="s">
        <v>1583</v>
      </c>
      <c r="T1059" s="56" t="s">
        <v>1576</v>
      </c>
      <c r="U1059" s="56" t="s">
        <v>1593</v>
      </c>
      <c r="V1059" s="56" t="s">
        <v>1915</v>
      </c>
      <c r="Z1059" s="31" t="s">
        <v>278</v>
      </c>
      <c r="AD1059" s="31" t="s">
        <v>1505</v>
      </c>
      <c r="AE1059" s="31" t="s">
        <v>159</v>
      </c>
      <c r="AF1059" s="152" t="s">
        <v>159</v>
      </c>
      <c r="AG1059" s="31" t="s">
        <v>160</v>
      </c>
      <c r="AH1059" s="155" t="s">
        <v>160</v>
      </c>
      <c r="AO1059" s="31" t="s">
        <v>840</v>
      </c>
      <c r="AP1059" s="31" t="s">
        <v>840</v>
      </c>
      <c r="AQ1059" s="31" t="s">
        <v>212</v>
      </c>
      <c r="AR1059" s="31" t="s">
        <v>192</v>
      </c>
      <c r="AW1059" s="31">
        <v>1763</v>
      </c>
      <c r="AX1059" s="31">
        <f>AW1059/45.4</f>
        <v>38.832599118942731</v>
      </c>
      <c r="AZ1059" s="31" t="s">
        <v>846</v>
      </c>
      <c r="BM1059" s="31">
        <v>1.21</v>
      </c>
      <c r="BN1059" s="31">
        <v>1.1299999999999999</v>
      </c>
      <c r="BO1059" s="31" t="s">
        <v>843</v>
      </c>
      <c r="FR1059" s="5" t="s">
        <v>842</v>
      </c>
      <c r="FT1059" s="31">
        <v>50</v>
      </c>
    </row>
    <row r="1060" spans="1:176" s="5" customFormat="1" x14ac:dyDescent="0.25">
      <c r="A1060" s="5">
        <v>50</v>
      </c>
      <c r="B1060" s="5" t="s">
        <v>835</v>
      </c>
      <c r="C1060" s="5" t="s">
        <v>836</v>
      </c>
      <c r="D1060" s="5">
        <v>2000</v>
      </c>
      <c r="E1060" s="5">
        <v>1997</v>
      </c>
      <c r="F1060" s="5" t="s">
        <v>837</v>
      </c>
      <c r="H1060" s="5">
        <v>41.84</v>
      </c>
      <c r="I1060" s="5">
        <v>-85.68</v>
      </c>
      <c r="J1060" s="5">
        <v>244</v>
      </c>
      <c r="P1060" s="62">
        <v>3</v>
      </c>
      <c r="Q1060" s="62"/>
      <c r="R1060" s="62"/>
      <c r="S1060" s="62" t="s">
        <v>1583</v>
      </c>
      <c r="T1060" s="62" t="s">
        <v>1576</v>
      </c>
      <c r="U1060" s="62" t="s">
        <v>1593</v>
      </c>
      <c r="V1060" s="62" t="s">
        <v>1915</v>
      </c>
      <c r="Z1060" s="5" t="s">
        <v>278</v>
      </c>
      <c r="AD1060" s="5" t="s">
        <v>1505</v>
      </c>
      <c r="AE1060" s="5" t="s">
        <v>159</v>
      </c>
      <c r="AF1060" s="152" t="s">
        <v>159</v>
      </c>
      <c r="AG1060" s="5" t="s">
        <v>160</v>
      </c>
      <c r="AH1060" s="155" t="s">
        <v>160</v>
      </c>
      <c r="AO1060" s="5" t="s">
        <v>839</v>
      </c>
      <c r="AP1060" s="5" t="s">
        <v>839</v>
      </c>
      <c r="AQ1060" s="5" t="s">
        <v>212</v>
      </c>
      <c r="AR1060" s="5" t="s">
        <v>192</v>
      </c>
      <c r="AW1060" s="5">
        <v>1173</v>
      </c>
      <c r="AX1060" s="5">
        <f>AW1060/40</f>
        <v>29.324999999999999</v>
      </c>
      <c r="AY1060" s="64"/>
      <c r="AZ1060" s="5" t="s">
        <v>846</v>
      </c>
      <c r="BM1060" s="5">
        <v>1.82</v>
      </c>
      <c r="BN1060" s="5">
        <v>1.83</v>
      </c>
      <c r="BO1060" s="5" t="s">
        <v>843</v>
      </c>
      <c r="EJ1060" s="46"/>
      <c r="EL1060" s="46"/>
      <c r="FR1060" s="5" t="s">
        <v>842</v>
      </c>
      <c r="FT1060" s="5">
        <v>50</v>
      </c>
    </row>
    <row r="1061" spans="1:176" s="5" customFormat="1" x14ac:dyDescent="0.25">
      <c r="A1061" s="5">
        <v>50</v>
      </c>
      <c r="B1061" s="5" t="s">
        <v>835</v>
      </c>
      <c r="C1061" s="5" t="s">
        <v>836</v>
      </c>
      <c r="D1061" s="5">
        <v>2000</v>
      </c>
      <c r="E1061" s="5">
        <v>1997</v>
      </c>
      <c r="F1061" s="5" t="s">
        <v>837</v>
      </c>
      <c r="H1061" s="5">
        <v>41.84</v>
      </c>
      <c r="I1061" s="5">
        <v>-85.68</v>
      </c>
      <c r="J1061" s="5">
        <v>244</v>
      </c>
      <c r="P1061" s="62">
        <v>3</v>
      </c>
      <c r="Q1061" s="62"/>
      <c r="R1061" s="62"/>
      <c r="S1061" s="62" t="s">
        <v>1583</v>
      </c>
      <c r="T1061" s="62" t="s">
        <v>1576</v>
      </c>
      <c r="U1061" s="62" t="s">
        <v>1593</v>
      </c>
      <c r="V1061" s="62" t="s">
        <v>1915</v>
      </c>
      <c r="Z1061" s="5" t="s">
        <v>278</v>
      </c>
      <c r="AD1061" s="5" t="s">
        <v>1505</v>
      </c>
      <c r="AE1061" s="5" t="s">
        <v>159</v>
      </c>
      <c r="AF1061" s="152" t="s">
        <v>159</v>
      </c>
      <c r="AG1061" s="5" t="s">
        <v>160</v>
      </c>
      <c r="AH1061" s="155" t="s">
        <v>160</v>
      </c>
      <c r="AO1061" s="5" t="s">
        <v>840</v>
      </c>
      <c r="AP1061" s="5" t="s">
        <v>840</v>
      </c>
      <c r="AQ1061" s="5" t="s">
        <v>212</v>
      </c>
      <c r="AR1061" s="5" t="s">
        <v>192</v>
      </c>
      <c r="AW1061" s="5">
        <v>2010</v>
      </c>
      <c r="AX1061" s="5">
        <f>AW1061/56</f>
        <v>35.892857142857146</v>
      </c>
      <c r="AY1061" s="64"/>
      <c r="AZ1061" s="5" t="s">
        <v>846</v>
      </c>
      <c r="BM1061" s="5">
        <v>2.33</v>
      </c>
      <c r="BN1061" s="5">
        <v>1.92</v>
      </c>
      <c r="BO1061" s="5" t="s">
        <v>843</v>
      </c>
      <c r="EJ1061" s="46"/>
      <c r="EL1061" s="46"/>
      <c r="FR1061" s="5" t="s">
        <v>842</v>
      </c>
      <c r="FT1061" s="5">
        <v>50</v>
      </c>
    </row>
    <row r="1062" spans="1:176" s="26" customFormat="1" x14ac:dyDescent="0.25">
      <c r="A1062" s="26">
        <v>51</v>
      </c>
      <c r="B1062" s="26" t="s">
        <v>848</v>
      </c>
      <c r="C1062" s="26" t="s">
        <v>849</v>
      </c>
      <c r="D1062" s="26">
        <v>2017</v>
      </c>
      <c r="E1062" s="26">
        <v>2011</v>
      </c>
      <c r="F1062" s="26" t="s">
        <v>336</v>
      </c>
      <c r="G1062" s="26" t="s">
        <v>359</v>
      </c>
      <c r="H1062" s="26">
        <v>40.716666666666669</v>
      </c>
      <c r="I1062" s="26">
        <v>-77.916666666666671</v>
      </c>
      <c r="J1062" s="26">
        <v>376</v>
      </c>
      <c r="N1062" s="26">
        <v>975</v>
      </c>
      <c r="P1062" s="52">
        <v>1</v>
      </c>
      <c r="Q1062" s="52"/>
      <c r="R1062" s="52"/>
      <c r="S1062" s="52" t="s">
        <v>1553</v>
      </c>
      <c r="T1062" s="52" t="s">
        <v>1553</v>
      </c>
      <c r="U1062" s="52" t="s">
        <v>1553</v>
      </c>
      <c r="V1062" s="52" t="s">
        <v>1553</v>
      </c>
      <c r="Z1062" s="26" t="s">
        <v>531</v>
      </c>
      <c r="AE1062" s="26" t="s">
        <v>281</v>
      </c>
      <c r="AF1062" s="152" t="s">
        <v>666</v>
      </c>
      <c r="AG1062" s="26" t="s">
        <v>1707</v>
      </c>
      <c r="AH1062" s="154" t="s">
        <v>144</v>
      </c>
      <c r="AR1062" s="26" t="s">
        <v>192</v>
      </c>
      <c r="EA1062" s="26">
        <v>1.71</v>
      </c>
      <c r="EB1062" s="26">
        <v>3.08</v>
      </c>
      <c r="EC1062" s="26" t="s">
        <v>850</v>
      </c>
      <c r="FR1062" s="26" t="s">
        <v>850</v>
      </c>
      <c r="FT1062" s="26">
        <v>51</v>
      </c>
    </row>
    <row r="1063" spans="1:176" s="26" customFormat="1" x14ac:dyDescent="0.25">
      <c r="A1063" s="26">
        <v>51</v>
      </c>
      <c r="B1063" s="26" t="s">
        <v>848</v>
      </c>
      <c r="C1063" s="26" t="s">
        <v>849</v>
      </c>
      <c r="D1063" s="26">
        <v>2017</v>
      </c>
      <c r="E1063" s="26">
        <v>2011</v>
      </c>
      <c r="F1063" s="26" t="s">
        <v>336</v>
      </c>
      <c r="G1063" s="26" t="s">
        <v>359</v>
      </c>
      <c r="H1063" s="26">
        <v>40.716666666666669</v>
      </c>
      <c r="I1063" s="26">
        <v>-77.916666666666671</v>
      </c>
      <c r="J1063" s="26">
        <v>376</v>
      </c>
      <c r="N1063" s="26">
        <v>975</v>
      </c>
      <c r="P1063" s="52">
        <v>1</v>
      </c>
      <c r="Q1063" s="52"/>
      <c r="R1063" s="52"/>
      <c r="S1063" s="52" t="s">
        <v>1553</v>
      </c>
      <c r="T1063" s="52" t="s">
        <v>1553</v>
      </c>
      <c r="U1063" s="52" t="s">
        <v>1553</v>
      </c>
      <c r="V1063" s="52" t="s">
        <v>1553</v>
      </c>
      <c r="Z1063" s="26" t="s">
        <v>531</v>
      </c>
      <c r="AE1063" s="26" t="s">
        <v>159</v>
      </c>
      <c r="AF1063" s="152" t="s">
        <v>159</v>
      </c>
      <c r="AG1063" s="26" t="s">
        <v>1707</v>
      </c>
      <c r="AH1063" s="154" t="s">
        <v>144</v>
      </c>
      <c r="AR1063" s="26" t="s">
        <v>192</v>
      </c>
      <c r="EA1063" s="26">
        <v>1.71</v>
      </c>
      <c r="EB1063" s="26">
        <v>1.47</v>
      </c>
      <c r="EC1063" s="26" t="s">
        <v>850</v>
      </c>
      <c r="FR1063" s="26" t="s">
        <v>850</v>
      </c>
      <c r="FT1063" s="26">
        <v>51</v>
      </c>
    </row>
    <row r="1064" spans="1:176" s="31" customFormat="1" x14ac:dyDescent="0.25">
      <c r="A1064" s="31">
        <v>52</v>
      </c>
      <c r="B1064" s="31" t="s">
        <v>851</v>
      </c>
      <c r="C1064" s="31" t="s">
        <v>852</v>
      </c>
      <c r="D1064" s="31">
        <v>1998</v>
      </c>
      <c r="E1064" s="31">
        <v>1989</v>
      </c>
      <c r="F1064" s="31" t="s">
        <v>853</v>
      </c>
      <c r="H1064" s="31">
        <v>38.630000000000003</v>
      </c>
      <c r="I1064" s="31">
        <v>-75.459999999999994</v>
      </c>
      <c r="J1064" s="31">
        <v>10.8</v>
      </c>
      <c r="P1064" s="56">
        <v>1</v>
      </c>
      <c r="Q1064" s="56"/>
      <c r="R1064" s="56"/>
      <c r="S1064" s="56" t="s">
        <v>1558</v>
      </c>
      <c r="T1064" s="56" t="s">
        <v>1558</v>
      </c>
      <c r="U1064" s="56" t="s">
        <v>1558</v>
      </c>
      <c r="V1064" s="56" t="s">
        <v>1905</v>
      </c>
      <c r="Z1064" s="31" t="s">
        <v>210</v>
      </c>
      <c r="AD1064" s="31" t="s">
        <v>1506</v>
      </c>
      <c r="AE1064" s="31" t="s">
        <v>159</v>
      </c>
      <c r="AF1064" s="152" t="s">
        <v>159</v>
      </c>
      <c r="AG1064" s="31" t="s">
        <v>160</v>
      </c>
      <c r="AH1064" s="155" t="s">
        <v>160</v>
      </c>
      <c r="AL1064" s="31" t="s">
        <v>188</v>
      </c>
      <c r="AM1064" s="31" t="s">
        <v>188</v>
      </c>
      <c r="AN1064" s="31" t="s">
        <v>212</v>
      </c>
      <c r="AO1064" s="31" t="s">
        <v>854</v>
      </c>
      <c r="AP1064" s="31" t="s">
        <v>854</v>
      </c>
      <c r="AQ1064" s="31" t="s">
        <v>212</v>
      </c>
      <c r="AR1064" s="31" t="s">
        <v>192</v>
      </c>
      <c r="AS1064" s="31">
        <v>3</v>
      </c>
      <c r="AT1064" s="31">
        <v>3</v>
      </c>
      <c r="AU1064" s="31" t="s">
        <v>169</v>
      </c>
      <c r="BD1064" s="31">
        <v>8568</v>
      </c>
      <c r="BE1064" s="31">
        <v>8517</v>
      </c>
      <c r="BM1064" s="31">
        <f>(10.1+8.1)/2</f>
        <v>9.1</v>
      </c>
      <c r="BN1064" s="31">
        <f>(9.8+4)/2</f>
        <v>6.9</v>
      </c>
      <c r="BO1064" s="31" t="s">
        <v>1858</v>
      </c>
      <c r="DC1064" s="31">
        <v>64.2</v>
      </c>
      <c r="DD1064" s="31">
        <v>41.6</v>
      </c>
      <c r="DE1064" s="31" t="s">
        <v>864</v>
      </c>
      <c r="FR1064" s="31" t="s">
        <v>865</v>
      </c>
      <c r="FT1064" s="31">
        <v>52</v>
      </c>
    </row>
    <row r="1065" spans="1:176" s="31" customFormat="1" x14ac:dyDescent="0.25">
      <c r="A1065" s="31">
        <v>52</v>
      </c>
      <c r="B1065" s="31" t="s">
        <v>851</v>
      </c>
      <c r="C1065" s="31" t="s">
        <v>852</v>
      </c>
      <c r="D1065" s="31">
        <v>1998</v>
      </c>
      <c r="E1065" s="31">
        <v>1989</v>
      </c>
      <c r="F1065" s="31" t="s">
        <v>853</v>
      </c>
      <c r="H1065" s="31">
        <v>38.630000000000003</v>
      </c>
      <c r="I1065" s="31">
        <v>-75.459999999999994</v>
      </c>
      <c r="J1065" s="31">
        <v>10.8</v>
      </c>
      <c r="P1065" s="56">
        <v>1</v>
      </c>
      <c r="Q1065" s="56"/>
      <c r="R1065" s="56"/>
      <c r="S1065" s="56" t="s">
        <v>1558</v>
      </c>
      <c r="T1065" s="56" t="s">
        <v>1558</v>
      </c>
      <c r="U1065" s="56" t="s">
        <v>1558</v>
      </c>
      <c r="V1065" s="56" t="s">
        <v>1905</v>
      </c>
      <c r="Z1065" s="31" t="s">
        <v>210</v>
      </c>
      <c r="AD1065" s="31" t="s">
        <v>1506</v>
      </c>
      <c r="AE1065" s="31" t="s">
        <v>159</v>
      </c>
      <c r="AF1065" s="152" t="s">
        <v>159</v>
      </c>
      <c r="AG1065" s="31" t="s">
        <v>160</v>
      </c>
      <c r="AH1065" s="155" t="s">
        <v>160</v>
      </c>
      <c r="AL1065" s="31" t="s">
        <v>188</v>
      </c>
      <c r="AM1065" s="31" t="s">
        <v>188</v>
      </c>
      <c r="AN1065" s="31" t="s">
        <v>212</v>
      </c>
      <c r="AO1065" s="31" t="s">
        <v>855</v>
      </c>
      <c r="AP1065" s="31" t="s">
        <v>855</v>
      </c>
      <c r="AQ1065" s="31" t="s">
        <v>212</v>
      </c>
      <c r="AR1065" s="31" t="s">
        <v>192</v>
      </c>
      <c r="AS1065" s="31">
        <v>3</v>
      </c>
      <c r="AT1065" s="31">
        <v>3</v>
      </c>
      <c r="AU1065" s="31" t="s">
        <v>169</v>
      </c>
      <c r="BD1065" s="31">
        <v>8517</v>
      </c>
      <c r="BE1065" s="31">
        <v>8210</v>
      </c>
      <c r="BM1065" s="31">
        <f>(7.5+7)/2</f>
        <v>7.25</v>
      </c>
      <c r="BN1065" s="31">
        <f>(8.5+8.4)/2</f>
        <v>8.4499999999999993</v>
      </c>
      <c r="BO1065" s="31" t="s">
        <v>1858</v>
      </c>
      <c r="DC1065" s="31">
        <v>43.8</v>
      </c>
      <c r="DD1065" s="31">
        <v>37.799999999999997</v>
      </c>
      <c r="DE1065" s="31" t="s">
        <v>864</v>
      </c>
      <c r="FR1065" s="31" t="s">
        <v>865</v>
      </c>
      <c r="FT1065" s="31">
        <v>52</v>
      </c>
    </row>
    <row r="1066" spans="1:176" s="31" customFormat="1" x14ac:dyDescent="0.25">
      <c r="A1066" s="31">
        <v>52</v>
      </c>
      <c r="B1066" s="31" t="s">
        <v>851</v>
      </c>
      <c r="C1066" s="31" t="s">
        <v>852</v>
      </c>
      <c r="D1066" s="31">
        <v>1998</v>
      </c>
      <c r="E1066" s="31">
        <v>1989</v>
      </c>
      <c r="F1066" s="31" t="s">
        <v>853</v>
      </c>
      <c r="H1066" s="31">
        <v>38.630000000000003</v>
      </c>
      <c r="I1066" s="31">
        <v>-75.459999999999994</v>
      </c>
      <c r="J1066" s="31">
        <v>10.8</v>
      </c>
      <c r="P1066" s="56">
        <v>1</v>
      </c>
      <c r="Q1066" s="56"/>
      <c r="R1066" s="56"/>
      <c r="S1066" s="56" t="s">
        <v>1558</v>
      </c>
      <c r="T1066" s="56" t="s">
        <v>1558</v>
      </c>
      <c r="U1066" s="56" t="s">
        <v>1558</v>
      </c>
      <c r="V1066" s="56" t="s">
        <v>1905</v>
      </c>
      <c r="Z1066" s="31" t="s">
        <v>210</v>
      </c>
      <c r="AD1066" s="31" t="s">
        <v>1506</v>
      </c>
      <c r="AE1066" s="31" t="s">
        <v>159</v>
      </c>
      <c r="AF1066" s="152" t="s">
        <v>159</v>
      </c>
      <c r="AG1066" s="31" t="s">
        <v>160</v>
      </c>
      <c r="AH1066" s="155" t="s">
        <v>160</v>
      </c>
      <c r="AL1066" s="31" t="s">
        <v>188</v>
      </c>
      <c r="AM1066" s="31" t="s">
        <v>188</v>
      </c>
      <c r="AN1066" s="31" t="s">
        <v>212</v>
      </c>
      <c r="AO1066" s="31" t="s">
        <v>856</v>
      </c>
      <c r="AP1066" s="31" t="s">
        <v>856</v>
      </c>
      <c r="AQ1066" s="31" t="s">
        <v>212</v>
      </c>
      <c r="AR1066" s="31" t="s">
        <v>192</v>
      </c>
      <c r="AS1066" s="31">
        <v>3</v>
      </c>
      <c r="AT1066" s="31">
        <v>3</v>
      </c>
      <c r="AU1066" s="31" t="s">
        <v>169</v>
      </c>
      <c r="BD1066" s="31">
        <v>7764</v>
      </c>
      <c r="BE1066" s="31">
        <v>8391</v>
      </c>
      <c r="DC1066" s="31">
        <v>58.1</v>
      </c>
      <c r="DD1066" s="31">
        <v>40.799999999999997</v>
      </c>
      <c r="DE1066" s="31" t="s">
        <v>864</v>
      </c>
      <c r="FR1066" s="31" t="s">
        <v>865</v>
      </c>
      <c r="FT1066" s="31">
        <v>52</v>
      </c>
    </row>
    <row r="1067" spans="1:176" s="31" customFormat="1" x14ac:dyDescent="0.25">
      <c r="A1067" s="31">
        <v>52</v>
      </c>
      <c r="B1067" s="31" t="s">
        <v>851</v>
      </c>
      <c r="C1067" s="31" t="s">
        <v>852</v>
      </c>
      <c r="D1067" s="31">
        <v>1998</v>
      </c>
      <c r="E1067" s="31">
        <v>1989</v>
      </c>
      <c r="F1067" s="31" t="s">
        <v>853</v>
      </c>
      <c r="H1067" s="31">
        <v>38.630000000000003</v>
      </c>
      <c r="I1067" s="31">
        <v>-75.459999999999994</v>
      </c>
      <c r="J1067" s="31">
        <v>10.8</v>
      </c>
      <c r="P1067" s="56">
        <v>1</v>
      </c>
      <c r="Q1067" s="56"/>
      <c r="R1067" s="56"/>
      <c r="S1067" s="56" t="s">
        <v>1558</v>
      </c>
      <c r="T1067" s="56" t="s">
        <v>1558</v>
      </c>
      <c r="U1067" s="56" t="s">
        <v>1558</v>
      </c>
      <c r="V1067" s="56" t="s">
        <v>1905</v>
      </c>
      <c r="Z1067" s="31" t="s">
        <v>210</v>
      </c>
      <c r="AD1067" s="31" t="s">
        <v>1506</v>
      </c>
      <c r="AE1067" s="31" t="s">
        <v>159</v>
      </c>
      <c r="AF1067" s="152" t="s">
        <v>159</v>
      </c>
      <c r="AG1067" s="31" t="s">
        <v>160</v>
      </c>
      <c r="AH1067" s="155" t="s">
        <v>160</v>
      </c>
      <c r="AL1067" s="31" t="s">
        <v>188</v>
      </c>
      <c r="AM1067" s="31" t="s">
        <v>188</v>
      </c>
      <c r="AN1067" s="31" t="s">
        <v>212</v>
      </c>
      <c r="AO1067" s="31" t="s">
        <v>856</v>
      </c>
      <c r="AP1067" s="31" t="s">
        <v>856</v>
      </c>
      <c r="AQ1067" s="31" t="s">
        <v>212</v>
      </c>
      <c r="AR1067" s="31" t="s">
        <v>192</v>
      </c>
      <c r="AS1067" s="31">
        <v>3</v>
      </c>
      <c r="AT1067" s="31">
        <v>3</v>
      </c>
      <c r="AU1067" s="31" t="s">
        <v>169</v>
      </c>
      <c r="DC1067" s="31">
        <v>24</v>
      </c>
      <c r="DD1067" s="31">
        <v>15.8</v>
      </c>
      <c r="DE1067" s="31" t="s">
        <v>864</v>
      </c>
      <c r="FR1067" s="31" t="s">
        <v>865</v>
      </c>
      <c r="FT1067" s="31">
        <v>52</v>
      </c>
    </row>
    <row r="1068" spans="1:176" s="38" customFormat="1" x14ac:dyDescent="0.25">
      <c r="A1068" s="38">
        <v>52</v>
      </c>
      <c r="B1068" s="38" t="s">
        <v>851</v>
      </c>
      <c r="C1068" s="38" t="s">
        <v>852</v>
      </c>
      <c r="D1068" s="38">
        <v>1998</v>
      </c>
      <c r="E1068" s="38">
        <v>1989</v>
      </c>
      <c r="F1068" s="38" t="s">
        <v>853</v>
      </c>
      <c r="H1068" s="38">
        <v>38.630000000000003</v>
      </c>
      <c r="I1068" s="38">
        <v>-75.459999999999994</v>
      </c>
      <c r="J1068" s="38">
        <v>10.8</v>
      </c>
      <c r="P1068" s="57">
        <v>1</v>
      </c>
      <c r="Q1068" s="57"/>
      <c r="R1068" s="57"/>
      <c r="S1068" s="57" t="s">
        <v>1558</v>
      </c>
      <c r="T1068" s="57" t="s">
        <v>1558</v>
      </c>
      <c r="U1068" s="57" t="s">
        <v>1558</v>
      </c>
      <c r="V1068" s="57" t="s">
        <v>1905</v>
      </c>
      <c r="Z1068" s="38" t="s">
        <v>210</v>
      </c>
      <c r="AD1068" s="38" t="s">
        <v>1506</v>
      </c>
      <c r="AE1068" s="38" t="s">
        <v>159</v>
      </c>
      <c r="AF1068" s="152" t="s">
        <v>159</v>
      </c>
      <c r="AG1068" s="38" t="s">
        <v>160</v>
      </c>
      <c r="AH1068" s="155" t="s">
        <v>160</v>
      </c>
      <c r="AL1068" s="38" t="s">
        <v>269</v>
      </c>
      <c r="AM1068" s="38" t="s">
        <v>269</v>
      </c>
      <c r="AN1068" s="38" t="s">
        <v>212</v>
      </c>
      <c r="AO1068" s="38" t="s">
        <v>854</v>
      </c>
      <c r="AP1068" s="38" t="s">
        <v>854</v>
      </c>
      <c r="AQ1068" s="38" t="s">
        <v>212</v>
      </c>
      <c r="AR1068" s="38" t="s">
        <v>192</v>
      </c>
      <c r="AS1068" s="38">
        <v>3</v>
      </c>
      <c r="AT1068" s="38">
        <v>3</v>
      </c>
      <c r="AU1068" s="38" t="s">
        <v>169</v>
      </c>
      <c r="BD1068" s="38">
        <v>8210</v>
      </c>
      <c r="BE1068" s="38">
        <v>7539</v>
      </c>
      <c r="BM1068" s="38">
        <f>(9.8+4.8)/2</f>
        <v>7.3000000000000007</v>
      </c>
      <c r="BN1068" s="38">
        <f>(7.7+6.4)/2</f>
        <v>7.0500000000000007</v>
      </c>
      <c r="BO1068" s="38" t="s">
        <v>1858</v>
      </c>
      <c r="DC1068" s="38">
        <v>61.6</v>
      </c>
      <c r="DD1068" s="38">
        <v>31</v>
      </c>
      <c r="DE1068" s="38" t="s">
        <v>864</v>
      </c>
      <c r="FR1068" s="38" t="s">
        <v>865</v>
      </c>
      <c r="FT1068" s="38">
        <v>52</v>
      </c>
    </row>
    <row r="1069" spans="1:176" s="38" customFormat="1" x14ac:dyDescent="0.25">
      <c r="A1069" s="38">
        <v>52</v>
      </c>
      <c r="B1069" s="38" t="s">
        <v>851</v>
      </c>
      <c r="C1069" s="38" t="s">
        <v>852</v>
      </c>
      <c r="D1069" s="38">
        <v>1998</v>
      </c>
      <c r="E1069" s="38">
        <v>1989</v>
      </c>
      <c r="F1069" s="38" t="s">
        <v>853</v>
      </c>
      <c r="H1069" s="38">
        <v>38.630000000000003</v>
      </c>
      <c r="I1069" s="38">
        <v>-75.459999999999994</v>
      </c>
      <c r="J1069" s="38">
        <v>10.8</v>
      </c>
      <c r="P1069" s="57">
        <v>1</v>
      </c>
      <c r="Q1069" s="57"/>
      <c r="R1069" s="57"/>
      <c r="S1069" s="57" t="s">
        <v>1558</v>
      </c>
      <c r="T1069" s="57" t="s">
        <v>1558</v>
      </c>
      <c r="U1069" s="57" t="s">
        <v>1558</v>
      </c>
      <c r="V1069" s="57" t="s">
        <v>1905</v>
      </c>
      <c r="Z1069" s="38" t="s">
        <v>210</v>
      </c>
      <c r="AD1069" s="38" t="s">
        <v>1506</v>
      </c>
      <c r="AE1069" s="38" t="s">
        <v>159</v>
      </c>
      <c r="AF1069" s="152" t="s">
        <v>159</v>
      </c>
      <c r="AG1069" s="38" t="s">
        <v>160</v>
      </c>
      <c r="AH1069" s="155" t="s">
        <v>160</v>
      </c>
      <c r="AL1069" s="38" t="s">
        <v>269</v>
      </c>
      <c r="AM1069" s="38" t="s">
        <v>269</v>
      </c>
      <c r="AN1069" s="38" t="s">
        <v>212</v>
      </c>
      <c r="AO1069" s="38" t="s">
        <v>855</v>
      </c>
      <c r="AP1069" s="38" t="s">
        <v>855</v>
      </c>
      <c r="AQ1069" s="38" t="s">
        <v>212</v>
      </c>
      <c r="AR1069" s="38" t="s">
        <v>192</v>
      </c>
      <c r="AS1069" s="38">
        <v>3</v>
      </c>
      <c r="AT1069" s="38">
        <v>3</v>
      </c>
      <c r="AU1069" s="38" t="s">
        <v>169</v>
      </c>
      <c r="BD1069" s="38">
        <v>8963</v>
      </c>
      <c r="BE1069" s="38">
        <v>8109</v>
      </c>
      <c r="BM1069" s="38">
        <f>(9.9+7)/2</f>
        <v>8.4499999999999993</v>
      </c>
      <c r="BN1069" s="38">
        <f>(7.7+6.8)/2</f>
        <v>7.25</v>
      </c>
      <c r="BO1069" s="38" t="s">
        <v>1858</v>
      </c>
      <c r="DC1069" s="38">
        <v>33</v>
      </c>
      <c r="DD1069" s="38">
        <v>37.299999999999997</v>
      </c>
      <c r="DE1069" s="38" t="s">
        <v>864</v>
      </c>
      <c r="FR1069" s="38" t="s">
        <v>865</v>
      </c>
      <c r="FT1069" s="38">
        <v>52</v>
      </c>
    </row>
    <row r="1070" spans="1:176" s="38" customFormat="1" x14ac:dyDescent="0.25">
      <c r="A1070" s="38">
        <v>52</v>
      </c>
      <c r="B1070" s="38" t="s">
        <v>851</v>
      </c>
      <c r="C1070" s="38" t="s">
        <v>852</v>
      </c>
      <c r="D1070" s="38">
        <v>1998</v>
      </c>
      <c r="E1070" s="38">
        <v>1989</v>
      </c>
      <c r="F1070" s="38" t="s">
        <v>853</v>
      </c>
      <c r="H1070" s="38">
        <v>38.630000000000003</v>
      </c>
      <c r="I1070" s="38">
        <v>-75.459999999999994</v>
      </c>
      <c r="J1070" s="38">
        <v>10.8</v>
      </c>
      <c r="P1070" s="57">
        <v>1</v>
      </c>
      <c r="Q1070" s="57"/>
      <c r="R1070" s="57"/>
      <c r="S1070" s="57" t="s">
        <v>1558</v>
      </c>
      <c r="T1070" s="57" t="s">
        <v>1558</v>
      </c>
      <c r="U1070" s="57" t="s">
        <v>1558</v>
      </c>
      <c r="V1070" s="57" t="s">
        <v>1905</v>
      </c>
      <c r="Z1070" s="38" t="s">
        <v>210</v>
      </c>
      <c r="AD1070" s="38" t="s">
        <v>1506</v>
      </c>
      <c r="AE1070" s="38" t="s">
        <v>159</v>
      </c>
      <c r="AF1070" s="152" t="s">
        <v>159</v>
      </c>
      <c r="AG1070" s="38" t="s">
        <v>160</v>
      </c>
      <c r="AH1070" s="155" t="s">
        <v>160</v>
      </c>
      <c r="AL1070" s="38" t="s">
        <v>269</v>
      </c>
      <c r="AM1070" s="38" t="s">
        <v>269</v>
      </c>
      <c r="AN1070" s="38" t="s">
        <v>212</v>
      </c>
      <c r="AO1070" s="38" t="s">
        <v>856</v>
      </c>
      <c r="AP1070" s="38" t="s">
        <v>856</v>
      </c>
      <c r="AQ1070" s="38" t="s">
        <v>212</v>
      </c>
      <c r="AR1070" s="38" t="s">
        <v>192</v>
      </c>
      <c r="AS1070" s="38">
        <v>3</v>
      </c>
      <c r="AT1070" s="38">
        <v>3</v>
      </c>
      <c r="AU1070" s="38" t="s">
        <v>169</v>
      </c>
      <c r="BD1070" s="38">
        <v>8957</v>
      </c>
      <c r="BE1070" s="38">
        <v>8379</v>
      </c>
      <c r="DC1070" s="38">
        <v>64.400000000000006</v>
      </c>
      <c r="DD1070" s="38">
        <v>46.2</v>
      </c>
      <c r="DE1070" s="38" t="s">
        <v>864</v>
      </c>
      <c r="FR1070" s="38" t="s">
        <v>865</v>
      </c>
      <c r="FT1070" s="38">
        <v>52</v>
      </c>
    </row>
    <row r="1071" spans="1:176" s="38" customFormat="1" x14ac:dyDescent="0.25">
      <c r="A1071" s="38">
        <v>52</v>
      </c>
      <c r="B1071" s="38" t="s">
        <v>851</v>
      </c>
      <c r="C1071" s="38" t="s">
        <v>852</v>
      </c>
      <c r="D1071" s="38">
        <v>1998</v>
      </c>
      <c r="E1071" s="38">
        <v>1989</v>
      </c>
      <c r="F1071" s="38" t="s">
        <v>853</v>
      </c>
      <c r="H1071" s="38">
        <v>38.630000000000003</v>
      </c>
      <c r="I1071" s="38">
        <v>-75.459999999999994</v>
      </c>
      <c r="J1071" s="38">
        <v>10.8</v>
      </c>
      <c r="P1071" s="57">
        <v>1</v>
      </c>
      <c r="Q1071" s="57"/>
      <c r="R1071" s="57"/>
      <c r="S1071" s="57" t="s">
        <v>1558</v>
      </c>
      <c r="T1071" s="57" t="s">
        <v>1558</v>
      </c>
      <c r="U1071" s="57" t="s">
        <v>1558</v>
      </c>
      <c r="V1071" s="57" t="s">
        <v>1905</v>
      </c>
      <c r="Z1071" s="38" t="s">
        <v>210</v>
      </c>
      <c r="AD1071" s="38" t="s">
        <v>1506</v>
      </c>
      <c r="AE1071" s="38" t="s">
        <v>159</v>
      </c>
      <c r="AF1071" s="152" t="s">
        <v>159</v>
      </c>
      <c r="AG1071" s="38" t="s">
        <v>160</v>
      </c>
      <c r="AH1071" s="155" t="s">
        <v>160</v>
      </c>
      <c r="AL1071" s="38" t="s">
        <v>269</v>
      </c>
      <c r="AM1071" s="38" t="s">
        <v>269</v>
      </c>
      <c r="AN1071" s="38" t="s">
        <v>212</v>
      </c>
      <c r="AO1071" s="38" t="s">
        <v>856</v>
      </c>
      <c r="AP1071" s="38" t="s">
        <v>856</v>
      </c>
      <c r="AQ1071" s="38" t="s">
        <v>212</v>
      </c>
      <c r="AR1071" s="38" t="s">
        <v>192</v>
      </c>
      <c r="AS1071" s="38">
        <v>3</v>
      </c>
      <c r="AT1071" s="38">
        <v>3</v>
      </c>
      <c r="AU1071" s="38" t="s">
        <v>169</v>
      </c>
      <c r="DC1071" s="38">
        <v>23.5</v>
      </c>
      <c r="DD1071" s="38">
        <v>24.1</v>
      </c>
      <c r="DE1071" s="38" t="s">
        <v>864</v>
      </c>
      <c r="FR1071" s="38" t="s">
        <v>865</v>
      </c>
      <c r="FT1071" s="38">
        <v>52</v>
      </c>
    </row>
    <row r="1072" spans="1:176" s="31" customFormat="1" x14ac:dyDescent="0.25">
      <c r="A1072" s="31">
        <v>52</v>
      </c>
      <c r="B1072" s="31" t="s">
        <v>851</v>
      </c>
      <c r="C1072" s="31" t="s">
        <v>852</v>
      </c>
      <c r="D1072" s="31">
        <v>1998</v>
      </c>
      <c r="E1072" s="31">
        <v>1990</v>
      </c>
      <c r="F1072" s="31" t="s">
        <v>853</v>
      </c>
      <c r="H1072" s="31">
        <v>38.630000000000003</v>
      </c>
      <c r="I1072" s="31">
        <v>-75.459999999999994</v>
      </c>
      <c r="J1072" s="31">
        <v>10.8</v>
      </c>
      <c r="P1072" s="56">
        <v>2</v>
      </c>
      <c r="Q1072" s="56"/>
      <c r="R1072" s="56"/>
      <c r="S1072" s="56" t="s">
        <v>1558</v>
      </c>
      <c r="T1072" s="56" t="s">
        <v>1558</v>
      </c>
      <c r="U1072" s="56" t="s">
        <v>1558</v>
      </c>
      <c r="V1072" s="56" t="s">
        <v>1905</v>
      </c>
      <c r="Z1072" s="31" t="s">
        <v>210</v>
      </c>
      <c r="AD1072" s="31" t="s">
        <v>1506</v>
      </c>
      <c r="AE1072" s="31" t="s">
        <v>159</v>
      </c>
      <c r="AF1072" s="152" t="s">
        <v>159</v>
      </c>
      <c r="AG1072" s="31" t="s">
        <v>160</v>
      </c>
      <c r="AH1072" s="155" t="s">
        <v>160</v>
      </c>
      <c r="AL1072" s="31" t="s">
        <v>188</v>
      </c>
      <c r="AM1072" s="31" t="s">
        <v>188</v>
      </c>
      <c r="AN1072" s="31" t="s">
        <v>212</v>
      </c>
      <c r="AO1072" s="31" t="s">
        <v>854</v>
      </c>
      <c r="AP1072" s="31" t="s">
        <v>854</v>
      </c>
      <c r="AQ1072" s="31" t="s">
        <v>212</v>
      </c>
      <c r="AR1072" s="31" t="s">
        <v>192</v>
      </c>
      <c r="AS1072" s="31">
        <v>3</v>
      </c>
      <c r="AT1072" s="31">
        <v>3</v>
      </c>
      <c r="AU1072" s="31" t="s">
        <v>169</v>
      </c>
      <c r="BD1072" s="31">
        <v>7009</v>
      </c>
      <c r="BE1072" s="31">
        <v>7323</v>
      </c>
      <c r="BM1072" s="31">
        <f>(3.6+6.5+8.8)/3</f>
        <v>6.3</v>
      </c>
      <c r="BN1072" s="31">
        <f>(2.9+9+6.7)/3</f>
        <v>6.2</v>
      </c>
      <c r="BO1072" s="31" t="s">
        <v>1858</v>
      </c>
      <c r="DC1072" s="31">
        <v>41.6</v>
      </c>
      <c r="DD1072" s="31">
        <v>27.2</v>
      </c>
      <c r="DE1072" s="31" t="s">
        <v>864</v>
      </c>
      <c r="FR1072" s="31" t="s">
        <v>865</v>
      </c>
      <c r="FT1072" s="31">
        <v>52</v>
      </c>
    </row>
    <row r="1073" spans="1:176" s="31" customFormat="1" x14ac:dyDescent="0.25">
      <c r="A1073" s="31">
        <v>52</v>
      </c>
      <c r="B1073" s="31" t="s">
        <v>851</v>
      </c>
      <c r="C1073" s="31" t="s">
        <v>852</v>
      </c>
      <c r="D1073" s="31">
        <v>1998</v>
      </c>
      <c r="E1073" s="31">
        <v>1990</v>
      </c>
      <c r="F1073" s="31" t="s">
        <v>853</v>
      </c>
      <c r="H1073" s="31">
        <v>38.630000000000003</v>
      </c>
      <c r="I1073" s="31">
        <v>-75.459999999999994</v>
      </c>
      <c r="J1073" s="31">
        <v>10.8</v>
      </c>
      <c r="P1073" s="56">
        <v>2</v>
      </c>
      <c r="Q1073" s="56"/>
      <c r="R1073" s="56"/>
      <c r="S1073" s="56" t="s">
        <v>1558</v>
      </c>
      <c r="T1073" s="56" t="s">
        <v>1558</v>
      </c>
      <c r="U1073" s="56" t="s">
        <v>1558</v>
      </c>
      <c r="V1073" s="56" t="s">
        <v>1905</v>
      </c>
      <c r="Z1073" s="31" t="s">
        <v>210</v>
      </c>
      <c r="AD1073" s="31" t="s">
        <v>1506</v>
      </c>
      <c r="AE1073" s="31" t="s">
        <v>159</v>
      </c>
      <c r="AF1073" s="152" t="s">
        <v>159</v>
      </c>
      <c r="AG1073" s="31" t="s">
        <v>160</v>
      </c>
      <c r="AH1073" s="155" t="s">
        <v>160</v>
      </c>
      <c r="AL1073" s="31" t="s">
        <v>188</v>
      </c>
      <c r="AM1073" s="31" t="s">
        <v>188</v>
      </c>
      <c r="AN1073" s="31" t="s">
        <v>212</v>
      </c>
      <c r="AO1073" s="31" t="s">
        <v>855</v>
      </c>
      <c r="AP1073" s="31" t="s">
        <v>855</v>
      </c>
      <c r="AQ1073" s="31" t="s">
        <v>212</v>
      </c>
      <c r="AR1073" s="31" t="s">
        <v>192</v>
      </c>
      <c r="AS1073" s="31">
        <v>3</v>
      </c>
      <c r="AT1073" s="31">
        <v>3</v>
      </c>
      <c r="AU1073" s="31" t="s">
        <v>169</v>
      </c>
      <c r="BD1073" s="31">
        <v>6475</v>
      </c>
      <c r="BE1073" s="31">
        <v>7025</v>
      </c>
      <c r="DC1073" s="31">
        <v>45.7</v>
      </c>
      <c r="DD1073" s="31">
        <v>31.4</v>
      </c>
      <c r="DE1073" s="31" t="s">
        <v>864</v>
      </c>
      <c r="FR1073" s="31" t="s">
        <v>865</v>
      </c>
      <c r="FT1073" s="31">
        <v>52</v>
      </c>
    </row>
    <row r="1074" spans="1:176" s="31" customFormat="1" x14ac:dyDescent="0.25">
      <c r="A1074" s="31">
        <v>52</v>
      </c>
      <c r="B1074" s="31" t="s">
        <v>851</v>
      </c>
      <c r="C1074" s="31" t="s">
        <v>852</v>
      </c>
      <c r="D1074" s="31">
        <v>1998</v>
      </c>
      <c r="E1074" s="31">
        <v>1990</v>
      </c>
      <c r="F1074" s="31" t="s">
        <v>853</v>
      </c>
      <c r="H1074" s="31">
        <v>38.630000000000003</v>
      </c>
      <c r="I1074" s="31">
        <v>-75.459999999999994</v>
      </c>
      <c r="J1074" s="31">
        <v>10.8</v>
      </c>
      <c r="P1074" s="56">
        <v>2</v>
      </c>
      <c r="Q1074" s="56"/>
      <c r="R1074" s="56"/>
      <c r="S1074" s="56" t="s">
        <v>1558</v>
      </c>
      <c r="T1074" s="56" t="s">
        <v>1558</v>
      </c>
      <c r="U1074" s="56" t="s">
        <v>1558</v>
      </c>
      <c r="V1074" s="56" t="s">
        <v>1905</v>
      </c>
      <c r="Z1074" s="31" t="s">
        <v>210</v>
      </c>
      <c r="AD1074" s="31" t="s">
        <v>1506</v>
      </c>
      <c r="AE1074" s="31" t="s">
        <v>159</v>
      </c>
      <c r="AF1074" s="152" t="s">
        <v>159</v>
      </c>
      <c r="AG1074" s="31" t="s">
        <v>160</v>
      </c>
      <c r="AH1074" s="155" t="s">
        <v>160</v>
      </c>
      <c r="AL1074" s="31" t="s">
        <v>188</v>
      </c>
      <c r="AM1074" s="31" t="s">
        <v>188</v>
      </c>
      <c r="AN1074" s="31" t="s">
        <v>212</v>
      </c>
      <c r="AO1074" s="31" t="s">
        <v>856</v>
      </c>
      <c r="AP1074" s="31" t="s">
        <v>856</v>
      </c>
      <c r="AQ1074" s="31" t="s">
        <v>212</v>
      </c>
      <c r="AR1074" s="31" t="s">
        <v>192</v>
      </c>
      <c r="AS1074" s="31">
        <v>3</v>
      </c>
      <c r="AT1074" s="31">
        <v>3</v>
      </c>
      <c r="AU1074" s="31" t="s">
        <v>169</v>
      </c>
      <c r="BD1074" s="31">
        <v>6617</v>
      </c>
      <c r="BE1074" s="31">
        <v>7291</v>
      </c>
      <c r="DC1074" s="31">
        <v>25.3</v>
      </c>
      <c r="DD1074" s="31">
        <v>19.399999999999999</v>
      </c>
      <c r="DE1074" s="31" t="s">
        <v>864</v>
      </c>
      <c r="FR1074" s="31" t="s">
        <v>865</v>
      </c>
      <c r="FT1074" s="31">
        <v>52</v>
      </c>
    </row>
    <row r="1075" spans="1:176" s="31" customFormat="1" x14ac:dyDescent="0.25">
      <c r="A1075" s="31">
        <v>52</v>
      </c>
      <c r="B1075" s="31" t="s">
        <v>851</v>
      </c>
      <c r="C1075" s="31" t="s">
        <v>852</v>
      </c>
      <c r="D1075" s="31">
        <v>1998</v>
      </c>
      <c r="E1075" s="31">
        <v>1990</v>
      </c>
      <c r="F1075" s="31" t="s">
        <v>853</v>
      </c>
      <c r="H1075" s="31">
        <v>38.630000000000003</v>
      </c>
      <c r="I1075" s="31">
        <v>-75.459999999999994</v>
      </c>
      <c r="J1075" s="31">
        <v>10.8</v>
      </c>
      <c r="P1075" s="56">
        <v>2</v>
      </c>
      <c r="Q1075" s="56"/>
      <c r="R1075" s="56"/>
      <c r="S1075" s="56" t="s">
        <v>1558</v>
      </c>
      <c r="T1075" s="56" t="s">
        <v>1558</v>
      </c>
      <c r="U1075" s="56" t="s">
        <v>1558</v>
      </c>
      <c r="V1075" s="56" t="s">
        <v>1905</v>
      </c>
      <c r="Z1075" s="31" t="s">
        <v>210</v>
      </c>
      <c r="AD1075" s="31" t="s">
        <v>1506</v>
      </c>
      <c r="AE1075" s="31" t="s">
        <v>159</v>
      </c>
      <c r="AF1075" s="152" t="s">
        <v>159</v>
      </c>
      <c r="AG1075" s="31" t="s">
        <v>160</v>
      </c>
      <c r="AH1075" s="155" t="s">
        <v>160</v>
      </c>
      <c r="AL1075" s="31" t="s">
        <v>188</v>
      </c>
      <c r="AM1075" s="31" t="s">
        <v>188</v>
      </c>
      <c r="AN1075" s="31" t="s">
        <v>212</v>
      </c>
      <c r="AO1075" s="31" t="s">
        <v>856</v>
      </c>
      <c r="AP1075" s="31" t="s">
        <v>856</v>
      </c>
      <c r="AQ1075" s="31" t="s">
        <v>212</v>
      </c>
      <c r="AR1075" s="31" t="s">
        <v>192</v>
      </c>
      <c r="AS1075" s="31">
        <v>3</v>
      </c>
      <c r="AT1075" s="31">
        <v>3</v>
      </c>
      <c r="AU1075" s="31" t="s">
        <v>169</v>
      </c>
      <c r="DC1075" s="31">
        <v>3.6</v>
      </c>
      <c r="DD1075" s="31">
        <v>4.4000000000000004</v>
      </c>
      <c r="DE1075" s="31" t="s">
        <v>864</v>
      </c>
      <c r="FR1075" s="31" t="s">
        <v>865</v>
      </c>
      <c r="FT1075" s="31">
        <v>52</v>
      </c>
    </row>
    <row r="1076" spans="1:176" s="38" customFormat="1" x14ac:dyDescent="0.25">
      <c r="A1076" s="38">
        <v>52</v>
      </c>
      <c r="B1076" s="38" t="s">
        <v>851</v>
      </c>
      <c r="C1076" s="38" t="s">
        <v>852</v>
      </c>
      <c r="D1076" s="38">
        <v>1998</v>
      </c>
      <c r="E1076" s="38">
        <v>1990</v>
      </c>
      <c r="F1076" s="38" t="s">
        <v>853</v>
      </c>
      <c r="H1076" s="38">
        <v>38.630000000000003</v>
      </c>
      <c r="I1076" s="38">
        <v>-75.459999999999994</v>
      </c>
      <c r="J1076" s="38">
        <v>10.8</v>
      </c>
      <c r="P1076" s="57">
        <v>2</v>
      </c>
      <c r="Q1076" s="57"/>
      <c r="R1076" s="57"/>
      <c r="S1076" s="57" t="s">
        <v>1558</v>
      </c>
      <c r="T1076" s="57" t="s">
        <v>1558</v>
      </c>
      <c r="U1076" s="57" t="s">
        <v>1558</v>
      </c>
      <c r="V1076" s="57" t="s">
        <v>1905</v>
      </c>
      <c r="Z1076" s="38" t="s">
        <v>210</v>
      </c>
      <c r="AD1076" s="38" t="s">
        <v>1506</v>
      </c>
      <c r="AE1076" s="38" t="s">
        <v>159</v>
      </c>
      <c r="AF1076" s="152" t="s">
        <v>159</v>
      </c>
      <c r="AG1076" s="38" t="s">
        <v>160</v>
      </c>
      <c r="AH1076" s="155" t="s">
        <v>160</v>
      </c>
      <c r="AL1076" s="38" t="s">
        <v>269</v>
      </c>
      <c r="AM1076" s="38" t="s">
        <v>269</v>
      </c>
      <c r="AN1076" s="38" t="s">
        <v>212</v>
      </c>
      <c r="AO1076" s="38" t="s">
        <v>854</v>
      </c>
      <c r="AP1076" s="38" t="s">
        <v>854</v>
      </c>
      <c r="AQ1076" s="38" t="s">
        <v>212</v>
      </c>
      <c r="AR1076" s="38" t="s">
        <v>192</v>
      </c>
      <c r="AS1076" s="38">
        <v>3</v>
      </c>
      <c r="AT1076" s="38">
        <v>3</v>
      </c>
      <c r="AU1076" s="38" t="s">
        <v>169</v>
      </c>
      <c r="BD1076" s="38">
        <v>8593</v>
      </c>
      <c r="BE1076" s="38">
        <v>8059</v>
      </c>
      <c r="BM1076" s="38">
        <f>(3.3+6.6+7.9)/3</f>
        <v>5.9333333333333327</v>
      </c>
      <c r="BN1076" s="38">
        <f>(2.3+7.3+6.3)/3</f>
        <v>5.3</v>
      </c>
      <c r="BO1076" s="38" t="s">
        <v>1858</v>
      </c>
      <c r="DC1076" s="38">
        <v>31.1</v>
      </c>
      <c r="DD1076" s="38">
        <v>48.6</v>
      </c>
      <c r="DE1076" s="38" t="s">
        <v>864</v>
      </c>
      <c r="FR1076" s="38" t="s">
        <v>865</v>
      </c>
      <c r="FT1076" s="38">
        <v>52</v>
      </c>
    </row>
    <row r="1077" spans="1:176" s="38" customFormat="1" x14ac:dyDescent="0.25">
      <c r="A1077" s="38">
        <v>52</v>
      </c>
      <c r="B1077" s="38" t="s">
        <v>851</v>
      </c>
      <c r="C1077" s="38" t="s">
        <v>852</v>
      </c>
      <c r="D1077" s="38">
        <v>1998</v>
      </c>
      <c r="E1077" s="38">
        <v>1990</v>
      </c>
      <c r="F1077" s="38" t="s">
        <v>853</v>
      </c>
      <c r="H1077" s="38">
        <v>38.630000000000003</v>
      </c>
      <c r="I1077" s="38">
        <v>-75.459999999999994</v>
      </c>
      <c r="J1077" s="38">
        <v>10.8</v>
      </c>
      <c r="P1077" s="57">
        <v>2</v>
      </c>
      <c r="Q1077" s="57"/>
      <c r="R1077" s="57"/>
      <c r="S1077" s="57" t="s">
        <v>1558</v>
      </c>
      <c r="T1077" s="57" t="s">
        <v>1558</v>
      </c>
      <c r="U1077" s="57" t="s">
        <v>1558</v>
      </c>
      <c r="V1077" s="57" t="s">
        <v>1905</v>
      </c>
      <c r="Z1077" s="38" t="s">
        <v>210</v>
      </c>
      <c r="AD1077" s="38" t="s">
        <v>1506</v>
      </c>
      <c r="AE1077" s="38" t="s">
        <v>159</v>
      </c>
      <c r="AF1077" s="152" t="s">
        <v>159</v>
      </c>
      <c r="AG1077" s="38" t="s">
        <v>160</v>
      </c>
      <c r="AH1077" s="155" t="s">
        <v>160</v>
      </c>
      <c r="AL1077" s="38" t="s">
        <v>269</v>
      </c>
      <c r="AM1077" s="38" t="s">
        <v>269</v>
      </c>
      <c r="AN1077" s="38" t="s">
        <v>212</v>
      </c>
      <c r="AO1077" s="38" t="s">
        <v>855</v>
      </c>
      <c r="AP1077" s="38" t="s">
        <v>855</v>
      </c>
      <c r="AQ1077" s="38" t="s">
        <v>212</v>
      </c>
      <c r="AR1077" s="38" t="s">
        <v>192</v>
      </c>
      <c r="AS1077" s="38">
        <v>3</v>
      </c>
      <c r="AT1077" s="38">
        <v>3</v>
      </c>
      <c r="AU1077" s="38" t="s">
        <v>169</v>
      </c>
      <c r="BD1077" s="38">
        <v>7558</v>
      </c>
      <c r="BE1077" s="38">
        <v>7401</v>
      </c>
      <c r="DC1077" s="38">
        <v>37.4</v>
      </c>
      <c r="DD1077" s="38">
        <v>35.1</v>
      </c>
      <c r="DE1077" s="38" t="s">
        <v>864</v>
      </c>
      <c r="FR1077" s="38" t="s">
        <v>865</v>
      </c>
      <c r="FT1077" s="38">
        <v>52</v>
      </c>
    </row>
    <row r="1078" spans="1:176" s="38" customFormat="1" x14ac:dyDescent="0.25">
      <c r="A1078" s="38">
        <v>52</v>
      </c>
      <c r="B1078" s="38" t="s">
        <v>851</v>
      </c>
      <c r="C1078" s="38" t="s">
        <v>852</v>
      </c>
      <c r="D1078" s="38">
        <v>1998</v>
      </c>
      <c r="E1078" s="38">
        <v>1990</v>
      </c>
      <c r="F1078" s="38" t="s">
        <v>853</v>
      </c>
      <c r="H1078" s="38">
        <v>38.630000000000003</v>
      </c>
      <c r="I1078" s="38">
        <v>-75.459999999999994</v>
      </c>
      <c r="J1078" s="38">
        <v>10.8</v>
      </c>
      <c r="P1078" s="57">
        <v>2</v>
      </c>
      <c r="Q1078" s="57"/>
      <c r="R1078" s="57"/>
      <c r="S1078" s="57" t="s">
        <v>1558</v>
      </c>
      <c r="T1078" s="57" t="s">
        <v>1558</v>
      </c>
      <c r="U1078" s="57" t="s">
        <v>1558</v>
      </c>
      <c r="V1078" s="57" t="s">
        <v>1905</v>
      </c>
      <c r="Z1078" s="38" t="s">
        <v>210</v>
      </c>
      <c r="AD1078" s="38" t="s">
        <v>1506</v>
      </c>
      <c r="AE1078" s="38" t="s">
        <v>159</v>
      </c>
      <c r="AF1078" s="152" t="s">
        <v>159</v>
      </c>
      <c r="AG1078" s="38" t="s">
        <v>160</v>
      </c>
      <c r="AH1078" s="155" t="s">
        <v>160</v>
      </c>
      <c r="AL1078" s="38" t="s">
        <v>269</v>
      </c>
      <c r="AM1078" s="38" t="s">
        <v>269</v>
      </c>
      <c r="AN1078" s="38" t="s">
        <v>212</v>
      </c>
      <c r="AO1078" s="38" t="s">
        <v>856</v>
      </c>
      <c r="AP1078" s="38" t="s">
        <v>856</v>
      </c>
      <c r="AQ1078" s="38" t="s">
        <v>212</v>
      </c>
      <c r="AR1078" s="38" t="s">
        <v>192</v>
      </c>
      <c r="AS1078" s="38">
        <v>3</v>
      </c>
      <c r="AT1078" s="38">
        <v>3</v>
      </c>
      <c r="AU1078" s="38" t="s">
        <v>169</v>
      </c>
      <c r="BD1078" s="38">
        <v>7777</v>
      </c>
      <c r="BE1078" s="38">
        <v>7605</v>
      </c>
      <c r="DC1078" s="38">
        <v>28.7</v>
      </c>
      <c r="DD1078" s="38">
        <v>19.399999999999999</v>
      </c>
      <c r="DE1078" s="38" t="s">
        <v>864</v>
      </c>
      <c r="FR1078" s="38" t="s">
        <v>865</v>
      </c>
      <c r="FT1078" s="38">
        <v>52</v>
      </c>
    </row>
    <row r="1079" spans="1:176" s="38" customFormat="1" x14ac:dyDescent="0.25">
      <c r="A1079" s="38">
        <v>52</v>
      </c>
      <c r="B1079" s="38" t="s">
        <v>851</v>
      </c>
      <c r="C1079" s="38" t="s">
        <v>852</v>
      </c>
      <c r="D1079" s="38">
        <v>1998</v>
      </c>
      <c r="E1079" s="38">
        <v>1990</v>
      </c>
      <c r="F1079" s="38" t="s">
        <v>853</v>
      </c>
      <c r="H1079" s="38">
        <v>38.630000000000003</v>
      </c>
      <c r="I1079" s="38">
        <v>-75.459999999999994</v>
      </c>
      <c r="J1079" s="38">
        <v>10.8</v>
      </c>
      <c r="P1079" s="57">
        <v>2</v>
      </c>
      <c r="Q1079" s="57"/>
      <c r="R1079" s="57"/>
      <c r="S1079" s="57" t="s">
        <v>1558</v>
      </c>
      <c r="T1079" s="57" t="s">
        <v>1558</v>
      </c>
      <c r="U1079" s="57" t="s">
        <v>1558</v>
      </c>
      <c r="V1079" s="57" t="s">
        <v>1905</v>
      </c>
      <c r="Z1079" s="38" t="s">
        <v>210</v>
      </c>
      <c r="AD1079" s="38" t="s">
        <v>1506</v>
      </c>
      <c r="AE1079" s="38" t="s">
        <v>159</v>
      </c>
      <c r="AF1079" s="152" t="s">
        <v>159</v>
      </c>
      <c r="AG1079" s="38" t="s">
        <v>160</v>
      </c>
      <c r="AH1079" s="155" t="s">
        <v>160</v>
      </c>
      <c r="AL1079" s="38" t="s">
        <v>269</v>
      </c>
      <c r="AM1079" s="38" t="s">
        <v>269</v>
      </c>
      <c r="AN1079" s="38" t="s">
        <v>212</v>
      </c>
      <c r="AO1079" s="38" t="s">
        <v>856</v>
      </c>
      <c r="AP1079" s="38" t="s">
        <v>856</v>
      </c>
      <c r="AQ1079" s="38" t="s">
        <v>212</v>
      </c>
      <c r="AR1079" s="38" t="s">
        <v>192</v>
      </c>
      <c r="AS1079" s="38">
        <v>3</v>
      </c>
      <c r="AT1079" s="38">
        <v>3</v>
      </c>
      <c r="AU1079" s="38" t="s">
        <v>169</v>
      </c>
      <c r="DC1079" s="38">
        <v>6.2</v>
      </c>
      <c r="DD1079" s="38">
        <v>6.5</v>
      </c>
      <c r="DE1079" s="38" t="s">
        <v>864</v>
      </c>
      <c r="FR1079" s="38" t="s">
        <v>865</v>
      </c>
      <c r="FT1079" s="38">
        <v>52</v>
      </c>
    </row>
    <row r="1080" spans="1:176" s="31" customFormat="1" x14ac:dyDescent="0.25">
      <c r="A1080" s="31">
        <v>52</v>
      </c>
      <c r="B1080" s="31" t="s">
        <v>851</v>
      </c>
      <c r="C1080" s="31" t="s">
        <v>852</v>
      </c>
      <c r="D1080" s="31">
        <v>1998</v>
      </c>
      <c r="E1080" s="31">
        <v>1991</v>
      </c>
      <c r="F1080" s="31" t="s">
        <v>853</v>
      </c>
      <c r="H1080" s="31">
        <v>38.630000000000003</v>
      </c>
      <c r="I1080" s="31">
        <v>-75.459999999999994</v>
      </c>
      <c r="J1080" s="31">
        <v>10.8</v>
      </c>
      <c r="P1080" s="56">
        <v>3</v>
      </c>
      <c r="Q1080" s="56"/>
      <c r="R1080" s="56"/>
      <c r="S1080" s="56" t="s">
        <v>1558</v>
      </c>
      <c r="T1080" s="56" t="s">
        <v>1558</v>
      </c>
      <c r="U1080" s="56" t="s">
        <v>1558</v>
      </c>
      <c r="V1080" s="56" t="s">
        <v>1905</v>
      </c>
      <c r="Z1080" s="31" t="s">
        <v>210</v>
      </c>
      <c r="AD1080" s="31" t="s">
        <v>1506</v>
      </c>
      <c r="AE1080" s="31" t="s">
        <v>159</v>
      </c>
      <c r="AF1080" s="152" t="s">
        <v>159</v>
      </c>
      <c r="AG1080" s="31" t="s">
        <v>160</v>
      </c>
      <c r="AH1080" s="155" t="s">
        <v>160</v>
      </c>
      <c r="AL1080" s="31" t="s">
        <v>188</v>
      </c>
      <c r="AM1080" s="31" t="s">
        <v>188</v>
      </c>
      <c r="AN1080" s="31" t="s">
        <v>212</v>
      </c>
      <c r="AO1080" s="31" t="s">
        <v>854</v>
      </c>
      <c r="AP1080" s="31" t="s">
        <v>854</v>
      </c>
      <c r="AQ1080" s="31" t="s">
        <v>212</v>
      </c>
      <c r="AR1080" s="31" t="s">
        <v>192</v>
      </c>
      <c r="AS1080" s="31">
        <v>3</v>
      </c>
      <c r="AT1080" s="31">
        <v>3</v>
      </c>
      <c r="AU1080" s="31" t="s">
        <v>169</v>
      </c>
      <c r="BD1080" s="31">
        <v>8216</v>
      </c>
      <c r="BE1080" s="31">
        <v>8106</v>
      </c>
      <c r="BM1080" s="31">
        <f>(3+5)/2</f>
        <v>4</v>
      </c>
      <c r="BN1080" s="31">
        <f>(1.4+7.4)/2</f>
        <v>4.4000000000000004</v>
      </c>
      <c r="BO1080" s="31" t="s">
        <v>1858</v>
      </c>
      <c r="DC1080" s="31">
        <v>3.8</v>
      </c>
      <c r="DD1080" s="31">
        <v>3.7</v>
      </c>
      <c r="DE1080" s="31" t="s">
        <v>864</v>
      </c>
      <c r="FR1080" s="31" t="s">
        <v>865</v>
      </c>
      <c r="FT1080" s="31">
        <v>52</v>
      </c>
    </row>
    <row r="1081" spans="1:176" s="31" customFormat="1" x14ac:dyDescent="0.25">
      <c r="A1081" s="31">
        <v>52</v>
      </c>
      <c r="B1081" s="31" t="s">
        <v>851</v>
      </c>
      <c r="C1081" s="31" t="s">
        <v>852</v>
      </c>
      <c r="D1081" s="31">
        <v>1998</v>
      </c>
      <c r="E1081" s="31">
        <v>1991</v>
      </c>
      <c r="F1081" s="31" t="s">
        <v>853</v>
      </c>
      <c r="H1081" s="31">
        <v>38.630000000000003</v>
      </c>
      <c r="I1081" s="31">
        <v>-75.459999999999994</v>
      </c>
      <c r="J1081" s="31">
        <v>10.8</v>
      </c>
      <c r="P1081" s="56">
        <v>3</v>
      </c>
      <c r="Q1081" s="56"/>
      <c r="R1081" s="56"/>
      <c r="S1081" s="56" t="s">
        <v>1558</v>
      </c>
      <c r="T1081" s="56" t="s">
        <v>1558</v>
      </c>
      <c r="U1081" s="56" t="s">
        <v>1558</v>
      </c>
      <c r="V1081" s="56" t="s">
        <v>1905</v>
      </c>
      <c r="Z1081" s="31" t="s">
        <v>210</v>
      </c>
      <c r="AD1081" s="31" t="s">
        <v>1506</v>
      </c>
      <c r="AE1081" s="31" t="s">
        <v>159</v>
      </c>
      <c r="AF1081" s="152" t="s">
        <v>159</v>
      </c>
      <c r="AG1081" s="31" t="s">
        <v>160</v>
      </c>
      <c r="AH1081" s="155" t="s">
        <v>160</v>
      </c>
      <c r="AL1081" s="31" t="s">
        <v>188</v>
      </c>
      <c r="AM1081" s="31" t="s">
        <v>188</v>
      </c>
      <c r="AN1081" s="31" t="s">
        <v>212</v>
      </c>
      <c r="AO1081" s="31" t="s">
        <v>855</v>
      </c>
      <c r="AP1081" s="31" t="s">
        <v>855</v>
      </c>
      <c r="AQ1081" s="31" t="s">
        <v>212</v>
      </c>
      <c r="AR1081" s="31" t="s">
        <v>192</v>
      </c>
      <c r="AS1081" s="31">
        <v>3</v>
      </c>
      <c r="AT1081" s="31">
        <v>3</v>
      </c>
      <c r="AU1081" s="31" t="s">
        <v>169</v>
      </c>
      <c r="BD1081" s="31">
        <v>7243</v>
      </c>
      <c r="BE1081" s="31">
        <v>8467</v>
      </c>
      <c r="DC1081" s="31">
        <v>28.3</v>
      </c>
      <c r="DD1081" s="31">
        <v>25.4</v>
      </c>
      <c r="DE1081" s="31" t="s">
        <v>864</v>
      </c>
      <c r="FR1081" s="31" t="s">
        <v>865</v>
      </c>
      <c r="FT1081" s="31">
        <v>52</v>
      </c>
    </row>
    <row r="1082" spans="1:176" s="31" customFormat="1" x14ac:dyDescent="0.25">
      <c r="A1082" s="31">
        <v>52</v>
      </c>
      <c r="B1082" s="31" t="s">
        <v>851</v>
      </c>
      <c r="C1082" s="31" t="s">
        <v>852</v>
      </c>
      <c r="D1082" s="31">
        <v>1998</v>
      </c>
      <c r="E1082" s="31">
        <v>1991</v>
      </c>
      <c r="F1082" s="31" t="s">
        <v>853</v>
      </c>
      <c r="H1082" s="31">
        <v>38.630000000000003</v>
      </c>
      <c r="I1082" s="31">
        <v>-75.459999999999994</v>
      </c>
      <c r="J1082" s="31">
        <v>10.8</v>
      </c>
      <c r="P1082" s="56">
        <v>3</v>
      </c>
      <c r="Q1082" s="56"/>
      <c r="R1082" s="56"/>
      <c r="S1082" s="56" t="s">
        <v>1558</v>
      </c>
      <c r="T1082" s="56" t="s">
        <v>1558</v>
      </c>
      <c r="U1082" s="56" t="s">
        <v>1558</v>
      </c>
      <c r="V1082" s="56" t="s">
        <v>1905</v>
      </c>
      <c r="Z1082" s="31" t="s">
        <v>210</v>
      </c>
      <c r="AD1082" s="31" t="s">
        <v>1506</v>
      </c>
      <c r="AE1082" s="31" t="s">
        <v>159</v>
      </c>
      <c r="AF1082" s="152" t="s">
        <v>159</v>
      </c>
      <c r="AG1082" s="31" t="s">
        <v>160</v>
      </c>
      <c r="AH1082" s="155" t="s">
        <v>160</v>
      </c>
      <c r="AL1082" s="31" t="s">
        <v>188</v>
      </c>
      <c r="AM1082" s="31" t="s">
        <v>188</v>
      </c>
      <c r="AN1082" s="31" t="s">
        <v>212</v>
      </c>
      <c r="AO1082" s="31" t="s">
        <v>856</v>
      </c>
      <c r="AP1082" s="31" t="s">
        <v>856</v>
      </c>
      <c r="AQ1082" s="31" t="s">
        <v>212</v>
      </c>
      <c r="AR1082" s="31" t="s">
        <v>192</v>
      </c>
      <c r="AS1082" s="31">
        <v>3</v>
      </c>
      <c r="AT1082" s="31">
        <v>3</v>
      </c>
      <c r="AU1082" s="31" t="s">
        <v>169</v>
      </c>
      <c r="BD1082" s="31">
        <v>8060</v>
      </c>
      <c r="BE1082" s="31">
        <v>8294</v>
      </c>
      <c r="DE1082" s="31" t="s">
        <v>864</v>
      </c>
      <c r="FR1082" s="31" t="s">
        <v>865</v>
      </c>
      <c r="FT1082" s="31">
        <v>52</v>
      </c>
    </row>
    <row r="1083" spans="1:176" s="38" customFormat="1" x14ac:dyDescent="0.25">
      <c r="A1083" s="38">
        <v>52</v>
      </c>
      <c r="B1083" s="38" t="s">
        <v>851</v>
      </c>
      <c r="C1083" s="38" t="s">
        <v>852</v>
      </c>
      <c r="D1083" s="38">
        <v>1998</v>
      </c>
      <c r="E1083" s="38">
        <v>1991</v>
      </c>
      <c r="F1083" s="38" t="s">
        <v>853</v>
      </c>
      <c r="H1083" s="38">
        <v>38.630000000000003</v>
      </c>
      <c r="I1083" s="38">
        <v>-75.459999999999994</v>
      </c>
      <c r="J1083" s="38">
        <v>10.8</v>
      </c>
      <c r="P1083" s="57">
        <v>3</v>
      </c>
      <c r="Q1083" s="57"/>
      <c r="R1083" s="57"/>
      <c r="S1083" s="57" t="s">
        <v>1558</v>
      </c>
      <c r="T1083" s="57" t="s">
        <v>1558</v>
      </c>
      <c r="U1083" s="57" t="s">
        <v>1558</v>
      </c>
      <c r="V1083" s="57" t="s">
        <v>1905</v>
      </c>
      <c r="Z1083" s="38" t="s">
        <v>210</v>
      </c>
      <c r="AD1083" s="31" t="s">
        <v>1506</v>
      </c>
      <c r="AE1083" s="38" t="s">
        <v>159</v>
      </c>
      <c r="AF1083" s="152" t="s">
        <v>159</v>
      </c>
      <c r="AG1083" s="38" t="s">
        <v>160</v>
      </c>
      <c r="AH1083" s="155" t="s">
        <v>160</v>
      </c>
      <c r="AL1083" s="38" t="s">
        <v>269</v>
      </c>
      <c r="AM1083" s="38" t="s">
        <v>269</v>
      </c>
      <c r="AN1083" s="38" t="s">
        <v>212</v>
      </c>
      <c r="AO1083" s="38" t="s">
        <v>854</v>
      </c>
      <c r="AP1083" s="38" t="s">
        <v>854</v>
      </c>
      <c r="AQ1083" s="38" t="s">
        <v>212</v>
      </c>
      <c r="AR1083" s="38" t="s">
        <v>192</v>
      </c>
      <c r="AS1083" s="38">
        <v>3</v>
      </c>
      <c r="AT1083" s="38">
        <v>3</v>
      </c>
      <c r="AU1083" s="38" t="s">
        <v>169</v>
      </c>
      <c r="BD1083" s="38">
        <v>8060</v>
      </c>
      <c r="BE1083" s="38">
        <v>8122</v>
      </c>
      <c r="BM1083" s="38">
        <f>(2.1+8.8)/2</f>
        <v>5.45</v>
      </c>
      <c r="BN1083" s="38">
        <f>(1.1+6.8)/2</f>
        <v>3.95</v>
      </c>
      <c r="BO1083" s="38" t="s">
        <v>1858</v>
      </c>
      <c r="DC1083" s="38">
        <v>4.5999999999999996</v>
      </c>
      <c r="DD1083" s="38">
        <v>4.7</v>
      </c>
      <c r="DE1083" s="38" t="s">
        <v>864</v>
      </c>
      <c r="FR1083" s="38" t="s">
        <v>865</v>
      </c>
      <c r="FT1083" s="38">
        <v>52</v>
      </c>
    </row>
    <row r="1084" spans="1:176" s="38" customFormat="1" x14ac:dyDescent="0.25">
      <c r="A1084" s="38">
        <v>52</v>
      </c>
      <c r="B1084" s="38" t="s">
        <v>851</v>
      </c>
      <c r="C1084" s="38" t="s">
        <v>852</v>
      </c>
      <c r="D1084" s="38">
        <v>1998</v>
      </c>
      <c r="E1084" s="38">
        <v>1991</v>
      </c>
      <c r="F1084" s="38" t="s">
        <v>853</v>
      </c>
      <c r="H1084" s="38">
        <v>38.630000000000003</v>
      </c>
      <c r="I1084" s="38">
        <v>-75.459999999999994</v>
      </c>
      <c r="J1084" s="38">
        <v>10.8</v>
      </c>
      <c r="P1084" s="57">
        <v>3</v>
      </c>
      <c r="Q1084" s="57"/>
      <c r="R1084" s="57"/>
      <c r="S1084" s="57" t="s">
        <v>1558</v>
      </c>
      <c r="T1084" s="57" t="s">
        <v>1558</v>
      </c>
      <c r="U1084" s="57" t="s">
        <v>1558</v>
      </c>
      <c r="V1084" s="57" t="s">
        <v>1905</v>
      </c>
      <c r="Z1084" s="38" t="s">
        <v>210</v>
      </c>
      <c r="AD1084" s="38" t="s">
        <v>1506</v>
      </c>
      <c r="AE1084" s="38" t="s">
        <v>159</v>
      </c>
      <c r="AF1084" s="152" t="s">
        <v>159</v>
      </c>
      <c r="AG1084" s="38" t="s">
        <v>160</v>
      </c>
      <c r="AH1084" s="155" t="s">
        <v>160</v>
      </c>
      <c r="AL1084" s="38" t="s">
        <v>269</v>
      </c>
      <c r="AM1084" s="38" t="s">
        <v>269</v>
      </c>
      <c r="AN1084" s="38" t="s">
        <v>212</v>
      </c>
      <c r="AO1084" s="38" t="s">
        <v>855</v>
      </c>
      <c r="AP1084" s="38" t="s">
        <v>855</v>
      </c>
      <c r="AQ1084" s="38" t="s">
        <v>212</v>
      </c>
      <c r="AR1084" s="38" t="s">
        <v>192</v>
      </c>
      <c r="AS1084" s="38">
        <v>3</v>
      </c>
      <c r="AT1084" s="38">
        <v>3</v>
      </c>
      <c r="AU1084" s="38" t="s">
        <v>169</v>
      </c>
      <c r="BD1084" s="38">
        <v>7871</v>
      </c>
      <c r="BE1084" s="38">
        <v>8091</v>
      </c>
      <c r="DC1084" s="38">
        <v>33.1</v>
      </c>
      <c r="DD1084" s="38">
        <v>28.1</v>
      </c>
      <c r="DE1084" s="38" t="s">
        <v>864</v>
      </c>
      <c r="FR1084" s="38" t="s">
        <v>865</v>
      </c>
      <c r="FT1084" s="38">
        <v>52</v>
      </c>
    </row>
    <row r="1085" spans="1:176" s="38" customFormat="1" x14ac:dyDescent="0.25">
      <c r="A1085" s="38">
        <v>52</v>
      </c>
      <c r="B1085" s="38" t="s">
        <v>851</v>
      </c>
      <c r="C1085" s="38" t="s">
        <v>852</v>
      </c>
      <c r="D1085" s="38">
        <v>1998</v>
      </c>
      <c r="E1085" s="38">
        <v>1991</v>
      </c>
      <c r="F1085" s="38" t="s">
        <v>853</v>
      </c>
      <c r="H1085" s="38">
        <v>38.630000000000003</v>
      </c>
      <c r="I1085" s="38">
        <v>-75.459999999999994</v>
      </c>
      <c r="J1085" s="38">
        <v>10.8</v>
      </c>
      <c r="P1085" s="57">
        <v>3</v>
      </c>
      <c r="Q1085" s="57"/>
      <c r="R1085" s="57"/>
      <c r="S1085" s="57" t="s">
        <v>1558</v>
      </c>
      <c r="T1085" s="57" t="s">
        <v>1558</v>
      </c>
      <c r="U1085" s="57" t="s">
        <v>1558</v>
      </c>
      <c r="V1085" s="57" t="s">
        <v>1905</v>
      </c>
      <c r="Z1085" s="38" t="s">
        <v>210</v>
      </c>
      <c r="AD1085" s="38" t="s">
        <v>1506</v>
      </c>
      <c r="AE1085" s="38" t="s">
        <v>159</v>
      </c>
      <c r="AF1085" s="152" t="s">
        <v>159</v>
      </c>
      <c r="AG1085" s="38" t="s">
        <v>160</v>
      </c>
      <c r="AH1085" s="155" t="s">
        <v>160</v>
      </c>
      <c r="AL1085" s="38" t="s">
        <v>269</v>
      </c>
      <c r="AM1085" s="38" t="s">
        <v>269</v>
      </c>
      <c r="AN1085" s="38" t="s">
        <v>212</v>
      </c>
      <c r="AO1085" s="38" t="s">
        <v>856</v>
      </c>
      <c r="AP1085" s="38" t="s">
        <v>856</v>
      </c>
      <c r="AQ1085" s="38" t="s">
        <v>212</v>
      </c>
      <c r="AR1085" s="38" t="s">
        <v>192</v>
      </c>
      <c r="AS1085" s="38">
        <v>3</v>
      </c>
      <c r="AT1085" s="38">
        <v>3</v>
      </c>
      <c r="AU1085" s="38" t="s">
        <v>169</v>
      </c>
      <c r="BD1085" s="38">
        <v>8201</v>
      </c>
      <c r="BE1085" s="38">
        <v>8372</v>
      </c>
      <c r="DC1085" s="99"/>
      <c r="DD1085" s="99"/>
      <c r="FR1085" s="38" t="s">
        <v>865</v>
      </c>
      <c r="FT1085" s="38">
        <v>52</v>
      </c>
    </row>
    <row r="1086" spans="1:176" s="26" customFormat="1" x14ac:dyDescent="0.25">
      <c r="A1086" s="26">
        <v>53</v>
      </c>
      <c r="B1086" s="26" t="s">
        <v>866</v>
      </c>
      <c r="C1086" s="26" t="s">
        <v>867</v>
      </c>
      <c r="D1086" s="26">
        <v>2006</v>
      </c>
      <c r="E1086" s="26">
        <v>2000</v>
      </c>
      <c r="F1086" s="26" t="s">
        <v>868</v>
      </c>
      <c r="G1086" s="26" t="s">
        <v>869</v>
      </c>
      <c r="H1086" s="26">
        <v>33.950000000000003</v>
      </c>
      <c r="I1086" s="26">
        <v>-83.38</v>
      </c>
      <c r="J1086" s="26">
        <v>208.4</v>
      </c>
      <c r="M1086" s="26">
        <f>278+505</f>
        <v>783</v>
      </c>
      <c r="N1086" s="26">
        <f>588+645</f>
        <v>1233</v>
      </c>
      <c r="P1086" s="52">
        <v>1</v>
      </c>
      <c r="Q1086" s="52"/>
      <c r="R1086" s="52"/>
      <c r="S1086" s="52" t="s">
        <v>1565</v>
      </c>
      <c r="T1086" s="52" t="s">
        <v>1565</v>
      </c>
      <c r="U1086" s="52" t="s">
        <v>1565</v>
      </c>
      <c r="V1086" s="52" t="s">
        <v>1908</v>
      </c>
      <c r="X1086" s="26">
        <f t="shared" ref="X1086:X1117" si="226">650/1000*100</f>
        <v>65</v>
      </c>
      <c r="Y1086" s="26">
        <f>25</f>
        <v>25</v>
      </c>
      <c r="Z1086" s="26" t="s">
        <v>278</v>
      </c>
      <c r="AA1086" s="26">
        <v>6.6</v>
      </c>
      <c r="AB1086" s="26">
        <v>0.88</v>
      </c>
      <c r="AD1086" s="26" t="s">
        <v>1507</v>
      </c>
      <c r="AE1086" s="26" t="s">
        <v>159</v>
      </c>
      <c r="AF1086" s="152" t="s">
        <v>159</v>
      </c>
      <c r="AG1086" s="26" t="s">
        <v>673</v>
      </c>
      <c r="AH1086" s="154" t="s">
        <v>1808</v>
      </c>
      <c r="AI1086" s="26" t="s">
        <v>876</v>
      </c>
      <c r="AJ1086" s="26" t="s">
        <v>876</v>
      </c>
      <c r="AK1086" s="26" t="s">
        <v>212</v>
      </c>
      <c r="AL1086" s="26" t="s">
        <v>188</v>
      </c>
      <c r="AM1086" s="26" t="s">
        <v>188</v>
      </c>
      <c r="AN1086" s="26" t="s">
        <v>212</v>
      </c>
      <c r="AO1086" s="26" t="s">
        <v>382</v>
      </c>
      <c r="AP1086" s="26" t="s">
        <v>382</v>
      </c>
      <c r="AQ1086" s="26" t="s">
        <v>212</v>
      </c>
      <c r="AR1086" s="26" t="s">
        <v>147</v>
      </c>
      <c r="AS1086" s="26">
        <v>3</v>
      </c>
      <c r="AT1086" s="26">
        <v>3</v>
      </c>
      <c r="AU1086" s="26" t="s">
        <v>379</v>
      </c>
      <c r="AW1086" s="26">
        <f>6.07*1000</f>
        <v>6070</v>
      </c>
      <c r="AX1086" s="26">
        <v>29</v>
      </c>
      <c r="BA1086" s="26">
        <v>5200</v>
      </c>
      <c r="BB1086" s="26">
        <v>6300</v>
      </c>
      <c r="BC1086" s="26" t="s">
        <v>1848</v>
      </c>
      <c r="BD1086" s="26">
        <v>814</v>
      </c>
      <c r="BE1086" s="26">
        <v>1107</v>
      </c>
      <c r="BM1086" s="26">
        <f>55.8*0.28</f>
        <v>15.624000000000001</v>
      </c>
      <c r="BN1086" s="26">
        <f>47.8*0.28</f>
        <v>13.384</v>
      </c>
      <c r="BO1086" s="26" t="s">
        <v>546</v>
      </c>
      <c r="EP1086" s="26">
        <v>11</v>
      </c>
      <c r="EQ1086" s="26">
        <v>20</v>
      </c>
      <c r="ER1086" s="26" t="s">
        <v>1886</v>
      </c>
      <c r="FR1086" s="26" t="s">
        <v>877</v>
      </c>
      <c r="FT1086" s="26">
        <v>53</v>
      </c>
    </row>
    <row r="1087" spans="1:176" s="26" customFormat="1" x14ac:dyDescent="0.25">
      <c r="A1087" s="26">
        <v>53</v>
      </c>
      <c r="B1087" s="26" t="s">
        <v>866</v>
      </c>
      <c r="C1087" s="26" t="s">
        <v>867</v>
      </c>
      <c r="D1087" s="26">
        <v>2006</v>
      </c>
      <c r="E1087" s="26">
        <v>2000</v>
      </c>
      <c r="F1087" s="26" t="s">
        <v>868</v>
      </c>
      <c r="G1087" s="26" t="s">
        <v>869</v>
      </c>
      <c r="H1087" s="26">
        <v>33.950000000000003</v>
      </c>
      <c r="I1087" s="26">
        <v>-83.38</v>
      </c>
      <c r="J1087" s="26">
        <v>208.4</v>
      </c>
      <c r="M1087" s="26">
        <f t="shared" ref="M1087:M1100" si="227">278+505</f>
        <v>783</v>
      </c>
      <c r="N1087" s="26">
        <f t="shared" ref="N1087:N1150" si="228">588+645</f>
        <v>1233</v>
      </c>
      <c r="P1087" s="52">
        <v>1</v>
      </c>
      <c r="Q1087" s="52"/>
      <c r="R1087" s="52"/>
      <c r="S1087" s="52" t="s">
        <v>1565</v>
      </c>
      <c r="T1087" s="52" t="s">
        <v>1565</v>
      </c>
      <c r="U1087" s="52" t="s">
        <v>1565</v>
      </c>
      <c r="V1087" s="52" t="s">
        <v>1908</v>
      </c>
      <c r="X1087" s="26">
        <f t="shared" si="226"/>
        <v>65</v>
      </c>
      <c r="Y1087" s="26">
        <f>25</f>
        <v>25</v>
      </c>
      <c r="Z1087" s="26" t="s">
        <v>278</v>
      </c>
      <c r="AA1087" s="26">
        <v>6.6</v>
      </c>
      <c r="AB1087" s="26">
        <v>0.88</v>
      </c>
      <c r="AD1087" s="26" t="s">
        <v>1507</v>
      </c>
      <c r="AE1087" s="26" t="s">
        <v>159</v>
      </c>
      <c r="AF1087" s="152" t="s">
        <v>159</v>
      </c>
      <c r="AG1087" s="26" t="s">
        <v>673</v>
      </c>
      <c r="AH1087" s="154" t="s">
        <v>1808</v>
      </c>
      <c r="AI1087" s="26" t="s">
        <v>876</v>
      </c>
      <c r="AJ1087" s="26" t="s">
        <v>876</v>
      </c>
      <c r="AK1087" s="26" t="s">
        <v>212</v>
      </c>
      <c r="AL1087" s="26" t="s">
        <v>870</v>
      </c>
      <c r="AM1087" s="26" t="s">
        <v>870</v>
      </c>
      <c r="AN1087" s="26" t="s">
        <v>212</v>
      </c>
      <c r="AO1087" s="26" t="s">
        <v>382</v>
      </c>
      <c r="AP1087" s="26" t="s">
        <v>382</v>
      </c>
      <c r="AQ1087" s="26" t="s">
        <v>212</v>
      </c>
      <c r="AR1087" s="26" t="s">
        <v>147</v>
      </c>
      <c r="AS1087" s="26">
        <v>3</v>
      </c>
      <c r="AT1087" s="26">
        <v>3</v>
      </c>
      <c r="AU1087" s="26" t="s">
        <v>379</v>
      </c>
      <c r="AW1087" s="26">
        <f t="shared" ref="AW1087:AW1088" si="229">6.07*1000</f>
        <v>6070</v>
      </c>
      <c r="AX1087" s="26">
        <v>29</v>
      </c>
      <c r="BD1087" s="26">
        <v>480</v>
      </c>
      <c r="BE1087" s="26">
        <v>674</v>
      </c>
      <c r="BM1087" s="26">
        <f>50.5*0.28</f>
        <v>14.14</v>
      </c>
      <c r="BN1087" s="26">
        <f>57*0.28</f>
        <v>15.96</v>
      </c>
      <c r="BO1087" s="26" t="s">
        <v>546</v>
      </c>
      <c r="EP1087" s="26">
        <v>8</v>
      </c>
      <c r="EQ1087" s="26">
        <v>11</v>
      </c>
      <c r="ER1087" s="26" t="s">
        <v>1886</v>
      </c>
      <c r="FR1087" s="26" t="s">
        <v>877</v>
      </c>
      <c r="FT1087" s="26">
        <v>53</v>
      </c>
    </row>
    <row r="1088" spans="1:176" s="26" customFormat="1" x14ac:dyDescent="0.25">
      <c r="A1088" s="26">
        <v>53</v>
      </c>
      <c r="B1088" s="26" t="s">
        <v>866</v>
      </c>
      <c r="C1088" s="26" t="s">
        <v>867</v>
      </c>
      <c r="D1088" s="26">
        <v>2006</v>
      </c>
      <c r="E1088" s="26">
        <v>2000</v>
      </c>
      <c r="F1088" s="26" t="s">
        <v>868</v>
      </c>
      <c r="G1088" s="26" t="s">
        <v>869</v>
      </c>
      <c r="H1088" s="26">
        <v>33.950000000000003</v>
      </c>
      <c r="I1088" s="26">
        <v>-83.38</v>
      </c>
      <c r="J1088" s="26">
        <v>208.4</v>
      </c>
      <c r="M1088" s="26">
        <f t="shared" si="227"/>
        <v>783</v>
      </c>
      <c r="N1088" s="26">
        <f t="shared" si="228"/>
        <v>1233</v>
      </c>
      <c r="P1088" s="52">
        <v>1</v>
      </c>
      <c r="Q1088" s="52"/>
      <c r="R1088" s="52"/>
      <c r="S1088" s="52" t="s">
        <v>1565</v>
      </c>
      <c r="T1088" s="52" t="s">
        <v>1565</v>
      </c>
      <c r="U1088" s="52" t="s">
        <v>1565</v>
      </c>
      <c r="V1088" s="52" t="s">
        <v>1908</v>
      </c>
      <c r="X1088" s="26">
        <f t="shared" si="226"/>
        <v>65</v>
      </c>
      <c r="Y1088" s="26">
        <f>25</f>
        <v>25</v>
      </c>
      <c r="Z1088" s="26" t="s">
        <v>278</v>
      </c>
      <c r="AA1088" s="26">
        <v>6.6</v>
      </c>
      <c r="AB1088" s="26">
        <v>0.88</v>
      </c>
      <c r="AD1088" s="26" t="s">
        <v>1507</v>
      </c>
      <c r="AE1088" s="26" t="s">
        <v>159</v>
      </c>
      <c r="AF1088" s="152" t="s">
        <v>159</v>
      </c>
      <c r="AG1088" s="26" t="s">
        <v>673</v>
      </c>
      <c r="AH1088" s="154" t="s">
        <v>1808</v>
      </c>
      <c r="AI1088" s="26" t="s">
        <v>876</v>
      </c>
      <c r="AJ1088" s="26" t="s">
        <v>876</v>
      </c>
      <c r="AK1088" s="26" t="s">
        <v>212</v>
      </c>
      <c r="AL1088" s="26" t="s">
        <v>871</v>
      </c>
      <c r="AM1088" s="26" t="s">
        <v>871</v>
      </c>
      <c r="AN1088" s="26" t="s">
        <v>212</v>
      </c>
      <c r="AO1088" s="26" t="s">
        <v>382</v>
      </c>
      <c r="AP1088" s="26" t="s">
        <v>382</v>
      </c>
      <c r="AQ1088" s="26" t="s">
        <v>212</v>
      </c>
      <c r="AR1088" s="26" t="s">
        <v>147</v>
      </c>
      <c r="AS1088" s="26">
        <v>3</v>
      </c>
      <c r="AT1088" s="26">
        <v>3</v>
      </c>
      <c r="AU1088" s="26" t="s">
        <v>379</v>
      </c>
      <c r="AW1088" s="26">
        <f t="shared" si="229"/>
        <v>6070</v>
      </c>
      <c r="AX1088" s="26">
        <v>29</v>
      </c>
      <c r="BD1088" s="26">
        <v>802</v>
      </c>
      <c r="BE1088" s="26">
        <v>857</v>
      </c>
      <c r="BM1088" s="26">
        <f>51.2*0.28</f>
        <v>14.336000000000002</v>
      </c>
      <c r="BN1088" s="26">
        <f>54.8*0.28</f>
        <v>15.344000000000001</v>
      </c>
      <c r="BO1088" s="26" t="s">
        <v>546</v>
      </c>
      <c r="EP1088" s="26">
        <v>14</v>
      </c>
      <c r="EQ1088" s="26">
        <v>14</v>
      </c>
      <c r="ER1088" s="26" t="s">
        <v>1886</v>
      </c>
      <c r="FR1088" s="26" t="s">
        <v>877</v>
      </c>
      <c r="FT1088" s="26">
        <v>53</v>
      </c>
    </row>
    <row r="1089" spans="1:176" s="85" customFormat="1" x14ac:dyDescent="0.25">
      <c r="A1089" s="85">
        <v>53</v>
      </c>
      <c r="B1089" s="85" t="s">
        <v>866</v>
      </c>
      <c r="C1089" s="85" t="s">
        <v>867</v>
      </c>
      <c r="D1089" s="85">
        <v>2006</v>
      </c>
      <c r="E1089" s="85">
        <v>2000</v>
      </c>
      <c r="F1089" s="85" t="s">
        <v>868</v>
      </c>
      <c r="G1089" s="85" t="s">
        <v>869</v>
      </c>
      <c r="H1089" s="85">
        <v>33.950000000000003</v>
      </c>
      <c r="I1089" s="85">
        <v>-83.38</v>
      </c>
      <c r="J1089" s="85">
        <v>208.4</v>
      </c>
      <c r="M1089" s="26">
        <f t="shared" si="227"/>
        <v>783</v>
      </c>
      <c r="N1089" s="26">
        <f t="shared" si="228"/>
        <v>1233</v>
      </c>
      <c r="P1089" s="86">
        <v>1</v>
      </c>
      <c r="Q1089" s="86"/>
      <c r="R1089" s="86"/>
      <c r="S1089" s="86" t="s">
        <v>1565</v>
      </c>
      <c r="T1089" s="86" t="s">
        <v>1565</v>
      </c>
      <c r="U1089" s="86" t="s">
        <v>1565</v>
      </c>
      <c r="V1089" s="52" t="s">
        <v>1908</v>
      </c>
      <c r="X1089" s="85">
        <f t="shared" si="226"/>
        <v>65</v>
      </c>
      <c r="Y1089" s="85">
        <f>25</f>
        <v>25</v>
      </c>
      <c r="Z1089" s="85" t="s">
        <v>278</v>
      </c>
      <c r="AA1089" s="85">
        <v>6.6</v>
      </c>
      <c r="AB1089" s="85">
        <v>0.88</v>
      </c>
      <c r="AD1089" s="26" t="s">
        <v>1507</v>
      </c>
      <c r="AE1089" s="85" t="s">
        <v>281</v>
      </c>
      <c r="AF1089" s="152" t="s">
        <v>666</v>
      </c>
      <c r="AG1089" s="85" t="s">
        <v>673</v>
      </c>
      <c r="AH1089" s="154" t="s">
        <v>1808</v>
      </c>
      <c r="AI1089" s="26" t="s">
        <v>876</v>
      </c>
      <c r="AJ1089" s="26" t="s">
        <v>876</v>
      </c>
      <c r="AK1089" s="26" t="s">
        <v>212</v>
      </c>
      <c r="AL1089" s="85" t="s">
        <v>188</v>
      </c>
      <c r="AM1089" s="85" t="s">
        <v>188</v>
      </c>
      <c r="AN1089" s="85" t="s">
        <v>212</v>
      </c>
      <c r="AO1089" s="85" t="s">
        <v>382</v>
      </c>
      <c r="AP1089" s="85" t="s">
        <v>382</v>
      </c>
      <c r="AQ1089" s="85" t="s">
        <v>212</v>
      </c>
      <c r="AR1089" s="85" t="s">
        <v>147</v>
      </c>
      <c r="AS1089" s="85">
        <v>3</v>
      </c>
      <c r="AT1089" s="85">
        <v>3</v>
      </c>
      <c r="AU1089" s="85" t="s">
        <v>379</v>
      </c>
      <c r="AW1089" s="85">
        <f>5.1*1000</f>
        <v>5100</v>
      </c>
      <c r="AX1089" s="85">
        <v>12</v>
      </c>
      <c r="BA1089" s="85">
        <v>5200</v>
      </c>
      <c r="BB1089" s="85">
        <v>8200</v>
      </c>
      <c r="BC1089" s="85" t="s">
        <v>1848</v>
      </c>
      <c r="BD1089" s="85">
        <v>814</v>
      </c>
      <c r="BE1089" s="85">
        <v>661</v>
      </c>
      <c r="BM1089" s="85">
        <v>15.624000000000001</v>
      </c>
      <c r="BN1089" s="85">
        <f>61*0.28</f>
        <v>17.080000000000002</v>
      </c>
      <c r="BO1089" s="26" t="s">
        <v>546</v>
      </c>
      <c r="EP1089" s="26">
        <v>11</v>
      </c>
      <c r="EQ1089" s="85">
        <v>11</v>
      </c>
      <c r="ER1089" s="26" t="s">
        <v>1886</v>
      </c>
      <c r="FR1089" s="26" t="s">
        <v>877</v>
      </c>
      <c r="FT1089" s="85">
        <v>53</v>
      </c>
    </row>
    <row r="1090" spans="1:176" s="85" customFormat="1" x14ac:dyDescent="0.25">
      <c r="A1090" s="85">
        <v>53</v>
      </c>
      <c r="B1090" s="85" t="s">
        <v>866</v>
      </c>
      <c r="C1090" s="85" t="s">
        <v>867</v>
      </c>
      <c r="D1090" s="85">
        <v>2006</v>
      </c>
      <c r="E1090" s="85">
        <v>2000</v>
      </c>
      <c r="F1090" s="85" t="s">
        <v>868</v>
      </c>
      <c r="G1090" s="85" t="s">
        <v>869</v>
      </c>
      <c r="H1090" s="85">
        <v>33.950000000000003</v>
      </c>
      <c r="I1090" s="85">
        <v>-83.38</v>
      </c>
      <c r="J1090" s="85">
        <v>208.4</v>
      </c>
      <c r="M1090" s="26">
        <f t="shared" si="227"/>
        <v>783</v>
      </c>
      <c r="N1090" s="26">
        <f t="shared" si="228"/>
        <v>1233</v>
      </c>
      <c r="P1090" s="86">
        <v>1</v>
      </c>
      <c r="Q1090" s="86"/>
      <c r="R1090" s="86"/>
      <c r="S1090" s="86" t="s">
        <v>1565</v>
      </c>
      <c r="T1090" s="86" t="s">
        <v>1565</v>
      </c>
      <c r="U1090" s="86" t="s">
        <v>1565</v>
      </c>
      <c r="V1090" s="52" t="s">
        <v>1908</v>
      </c>
      <c r="X1090" s="85">
        <f t="shared" si="226"/>
        <v>65</v>
      </c>
      <c r="Y1090" s="85">
        <f>25</f>
        <v>25</v>
      </c>
      <c r="Z1090" s="85" t="s">
        <v>278</v>
      </c>
      <c r="AA1090" s="85">
        <v>6.6</v>
      </c>
      <c r="AB1090" s="85">
        <v>0.88</v>
      </c>
      <c r="AD1090" s="26" t="s">
        <v>1507</v>
      </c>
      <c r="AE1090" s="85" t="s">
        <v>281</v>
      </c>
      <c r="AF1090" s="152" t="s">
        <v>666</v>
      </c>
      <c r="AG1090" s="85" t="s">
        <v>673</v>
      </c>
      <c r="AH1090" s="154" t="s">
        <v>1808</v>
      </c>
      <c r="AI1090" s="26" t="s">
        <v>876</v>
      </c>
      <c r="AJ1090" s="26" t="s">
        <v>876</v>
      </c>
      <c r="AK1090" s="26" t="s">
        <v>212</v>
      </c>
      <c r="AL1090" s="85" t="s">
        <v>870</v>
      </c>
      <c r="AM1090" s="85" t="s">
        <v>870</v>
      </c>
      <c r="AN1090" s="85" t="s">
        <v>212</v>
      </c>
      <c r="AO1090" s="85" t="s">
        <v>382</v>
      </c>
      <c r="AP1090" s="85" t="s">
        <v>382</v>
      </c>
      <c r="AQ1090" s="85" t="s">
        <v>212</v>
      </c>
      <c r="AR1090" s="85" t="s">
        <v>147</v>
      </c>
      <c r="AS1090" s="85">
        <v>3</v>
      </c>
      <c r="AT1090" s="85">
        <v>3</v>
      </c>
      <c r="AU1090" s="85" t="s">
        <v>379</v>
      </c>
      <c r="AW1090" s="85">
        <f t="shared" ref="AW1090:AW1091" si="230">5.1*1000</f>
        <v>5100</v>
      </c>
      <c r="AX1090" s="85">
        <v>12</v>
      </c>
      <c r="BD1090" s="85">
        <v>480</v>
      </c>
      <c r="BE1090" s="85">
        <v>664</v>
      </c>
      <c r="BM1090" s="85">
        <v>14.14</v>
      </c>
      <c r="BN1090" s="85">
        <f>61.8*0.28</f>
        <v>17.304000000000002</v>
      </c>
      <c r="BO1090" s="26" t="s">
        <v>546</v>
      </c>
      <c r="EP1090" s="26">
        <v>8</v>
      </c>
      <c r="EQ1090" s="85">
        <v>11</v>
      </c>
      <c r="ER1090" s="26" t="s">
        <v>1886</v>
      </c>
      <c r="FR1090" s="26" t="s">
        <v>877</v>
      </c>
      <c r="FT1090" s="85">
        <v>53</v>
      </c>
    </row>
    <row r="1091" spans="1:176" s="85" customFormat="1" x14ac:dyDescent="0.25">
      <c r="A1091" s="85">
        <v>53</v>
      </c>
      <c r="B1091" s="85" t="s">
        <v>866</v>
      </c>
      <c r="C1091" s="85" t="s">
        <v>867</v>
      </c>
      <c r="D1091" s="85">
        <v>2006</v>
      </c>
      <c r="E1091" s="85">
        <v>2000</v>
      </c>
      <c r="F1091" s="85" t="s">
        <v>868</v>
      </c>
      <c r="G1091" s="85" t="s">
        <v>869</v>
      </c>
      <c r="H1091" s="85">
        <v>33.950000000000003</v>
      </c>
      <c r="I1091" s="85">
        <v>-83.38</v>
      </c>
      <c r="J1091" s="85">
        <v>208.4</v>
      </c>
      <c r="M1091" s="26">
        <f t="shared" si="227"/>
        <v>783</v>
      </c>
      <c r="N1091" s="26">
        <f t="shared" si="228"/>
        <v>1233</v>
      </c>
      <c r="P1091" s="86">
        <v>1</v>
      </c>
      <c r="Q1091" s="86"/>
      <c r="R1091" s="86"/>
      <c r="S1091" s="86" t="s">
        <v>1565</v>
      </c>
      <c r="T1091" s="86" t="s">
        <v>1565</v>
      </c>
      <c r="U1091" s="86" t="s">
        <v>1565</v>
      </c>
      <c r="V1091" s="52" t="s">
        <v>1908</v>
      </c>
      <c r="X1091" s="85">
        <f t="shared" si="226"/>
        <v>65</v>
      </c>
      <c r="Y1091" s="85">
        <f>25</f>
        <v>25</v>
      </c>
      <c r="Z1091" s="85" t="s">
        <v>278</v>
      </c>
      <c r="AA1091" s="85">
        <v>6.6</v>
      </c>
      <c r="AB1091" s="85">
        <v>0.88</v>
      </c>
      <c r="AD1091" s="26" t="s">
        <v>1507</v>
      </c>
      <c r="AE1091" s="85" t="s">
        <v>281</v>
      </c>
      <c r="AF1091" s="152" t="s">
        <v>666</v>
      </c>
      <c r="AG1091" s="85" t="s">
        <v>673</v>
      </c>
      <c r="AH1091" s="154" t="s">
        <v>1808</v>
      </c>
      <c r="AI1091" s="26" t="s">
        <v>876</v>
      </c>
      <c r="AJ1091" s="26" t="s">
        <v>876</v>
      </c>
      <c r="AK1091" s="26" t="s">
        <v>212</v>
      </c>
      <c r="AL1091" s="85" t="s">
        <v>871</v>
      </c>
      <c r="AM1091" s="85" t="s">
        <v>871</v>
      </c>
      <c r="AN1091" s="85" t="s">
        <v>212</v>
      </c>
      <c r="AO1091" s="85" t="s">
        <v>382</v>
      </c>
      <c r="AP1091" s="85" t="s">
        <v>382</v>
      </c>
      <c r="AQ1091" s="85" t="s">
        <v>212</v>
      </c>
      <c r="AR1091" s="85" t="s">
        <v>147</v>
      </c>
      <c r="AS1091" s="85">
        <v>3</v>
      </c>
      <c r="AT1091" s="85">
        <v>3</v>
      </c>
      <c r="AU1091" s="85" t="s">
        <v>379</v>
      </c>
      <c r="AW1091" s="85">
        <f t="shared" si="230"/>
        <v>5100</v>
      </c>
      <c r="AX1091" s="85">
        <v>12</v>
      </c>
      <c r="BD1091" s="85">
        <v>802</v>
      </c>
      <c r="BE1091" s="85">
        <v>657</v>
      </c>
      <c r="BM1091" s="85">
        <v>14.336000000000002</v>
      </c>
      <c r="BN1091" s="85">
        <f>62.9*0.28</f>
        <v>17.612000000000002</v>
      </c>
      <c r="BO1091" s="26" t="s">
        <v>546</v>
      </c>
      <c r="EP1091" s="26">
        <v>14</v>
      </c>
      <c r="EQ1091" s="85">
        <v>11</v>
      </c>
      <c r="ER1091" s="26" t="s">
        <v>1886</v>
      </c>
      <c r="FR1091" s="26" t="s">
        <v>877</v>
      </c>
      <c r="FT1091" s="85">
        <v>53</v>
      </c>
    </row>
    <row r="1092" spans="1:176" s="26" customFormat="1" x14ac:dyDescent="0.25">
      <c r="A1092" s="26">
        <v>53</v>
      </c>
      <c r="B1092" s="26" t="s">
        <v>866</v>
      </c>
      <c r="C1092" s="26" t="s">
        <v>867</v>
      </c>
      <c r="D1092" s="26">
        <v>2006</v>
      </c>
      <c r="E1092" s="26">
        <v>2000</v>
      </c>
      <c r="F1092" s="26" t="s">
        <v>868</v>
      </c>
      <c r="G1092" s="26" t="s">
        <v>869</v>
      </c>
      <c r="H1092" s="26">
        <v>33.950000000000003</v>
      </c>
      <c r="I1092" s="26">
        <v>-83.38</v>
      </c>
      <c r="J1092" s="26">
        <v>208.4</v>
      </c>
      <c r="M1092" s="26">
        <f t="shared" si="227"/>
        <v>783</v>
      </c>
      <c r="N1092" s="26">
        <f t="shared" si="228"/>
        <v>1233</v>
      </c>
      <c r="P1092" s="52">
        <v>1</v>
      </c>
      <c r="Q1092" s="52"/>
      <c r="R1092" s="52"/>
      <c r="S1092" s="52" t="s">
        <v>1565</v>
      </c>
      <c r="T1092" s="52" t="s">
        <v>1565</v>
      </c>
      <c r="U1092" s="52" t="s">
        <v>1565</v>
      </c>
      <c r="V1092" s="52" t="s">
        <v>1908</v>
      </c>
      <c r="X1092" s="26">
        <f t="shared" si="226"/>
        <v>65</v>
      </c>
      <c r="Y1092" s="26">
        <f>25</f>
        <v>25</v>
      </c>
      <c r="Z1092" s="26" t="s">
        <v>278</v>
      </c>
      <c r="AA1092" s="26">
        <v>6.6</v>
      </c>
      <c r="AB1092" s="26">
        <v>0.88</v>
      </c>
      <c r="AD1092" s="26" t="s">
        <v>1507</v>
      </c>
      <c r="AE1092" s="26" t="s">
        <v>1698</v>
      </c>
      <c r="AF1092" s="152" t="s">
        <v>1762</v>
      </c>
      <c r="AG1092" s="26" t="s">
        <v>673</v>
      </c>
      <c r="AH1092" s="154" t="s">
        <v>1808</v>
      </c>
      <c r="AI1092" s="26" t="s">
        <v>876</v>
      </c>
      <c r="AJ1092" s="26" t="s">
        <v>876</v>
      </c>
      <c r="AK1092" s="26" t="s">
        <v>212</v>
      </c>
      <c r="AL1092" s="26" t="s">
        <v>188</v>
      </c>
      <c r="AM1092" s="26" t="s">
        <v>188</v>
      </c>
      <c r="AN1092" s="26" t="s">
        <v>212</v>
      </c>
      <c r="AO1092" s="26" t="s">
        <v>382</v>
      </c>
      <c r="AP1092" s="26" t="s">
        <v>382</v>
      </c>
      <c r="AQ1092" s="26" t="s">
        <v>212</v>
      </c>
      <c r="AR1092" s="26" t="s">
        <v>147</v>
      </c>
      <c r="AS1092" s="26">
        <v>3</v>
      </c>
      <c r="AT1092" s="26">
        <v>3</v>
      </c>
      <c r="AU1092" s="26" t="s">
        <v>379</v>
      </c>
      <c r="AW1092" s="26">
        <f>8.18*1000</f>
        <v>8180</v>
      </c>
      <c r="AX1092" s="26">
        <v>10</v>
      </c>
      <c r="BA1092" s="26">
        <v>5200</v>
      </c>
      <c r="BB1092" s="26">
        <v>7300</v>
      </c>
      <c r="BC1092" s="26" t="s">
        <v>1848</v>
      </c>
      <c r="BD1092" s="26">
        <v>814</v>
      </c>
      <c r="BE1092" s="26">
        <v>837</v>
      </c>
      <c r="BM1092" s="26">
        <f>55.8*0.28</f>
        <v>15.624000000000001</v>
      </c>
      <c r="BN1092" s="26">
        <f>53.7*0.28</f>
        <v>15.036000000000001</v>
      </c>
      <c r="BO1092" s="26" t="s">
        <v>546</v>
      </c>
      <c r="EP1092" s="26">
        <v>11</v>
      </c>
      <c r="EQ1092" s="26">
        <v>17</v>
      </c>
      <c r="ER1092" s="26" t="s">
        <v>1886</v>
      </c>
      <c r="FR1092" s="26" t="s">
        <v>877</v>
      </c>
      <c r="FT1092" s="26">
        <v>53</v>
      </c>
    </row>
    <row r="1093" spans="1:176" s="26" customFormat="1" x14ac:dyDescent="0.25">
      <c r="A1093" s="26">
        <v>53</v>
      </c>
      <c r="B1093" s="26" t="s">
        <v>866</v>
      </c>
      <c r="C1093" s="26" t="s">
        <v>867</v>
      </c>
      <c r="D1093" s="26">
        <v>2006</v>
      </c>
      <c r="E1093" s="26">
        <v>2000</v>
      </c>
      <c r="F1093" s="26" t="s">
        <v>868</v>
      </c>
      <c r="G1093" s="26" t="s">
        <v>869</v>
      </c>
      <c r="H1093" s="26">
        <v>33.950000000000003</v>
      </c>
      <c r="I1093" s="26">
        <v>-83.38</v>
      </c>
      <c r="J1093" s="26">
        <v>208.4</v>
      </c>
      <c r="M1093" s="26">
        <f t="shared" si="227"/>
        <v>783</v>
      </c>
      <c r="N1093" s="26">
        <f t="shared" si="228"/>
        <v>1233</v>
      </c>
      <c r="P1093" s="52">
        <v>1</v>
      </c>
      <c r="Q1093" s="52"/>
      <c r="R1093" s="52"/>
      <c r="S1093" s="52" t="s">
        <v>1565</v>
      </c>
      <c r="T1093" s="52" t="s">
        <v>1565</v>
      </c>
      <c r="U1093" s="52" t="s">
        <v>1565</v>
      </c>
      <c r="V1093" s="52" t="s">
        <v>1908</v>
      </c>
      <c r="X1093" s="26">
        <f t="shared" si="226"/>
        <v>65</v>
      </c>
      <c r="Y1093" s="26">
        <f>25</f>
        <v>25</v>
      </c>
      <c r="Z1093" s="26" t="s">
        <v>278</v>
      </c>
      <c r="AA1093" s="26">
        <v>6.6</v>
      </c>
      <c r="AB1093" s="26">
        <v>0.88</v>
      </c>
      <c r="AD1093" s="26" t="s">
        <v>1507</v>
      </c>
      <c r="AE1093" s="26" t="s">
        <v>1698</v>
      </c>
      <c r="AF1093" s="152" t="s">
        <v>1762</v>
      </c>
      <c r="AG1093" s="26" t="s">
        <v>673</v>
      </c>
      <c r="AH1093" s="154" t="s">
        <v>1808</v>
      </c>
      <c r="AI1093" s="26" t="s">
        <v>876</v>
      </c>
      <c r="AJ1093" s="26" t="s">
        <v>876</v>
      </c>
      <c r="AK1093" s="26" t="s">
        <v>212</v>
      </c>
      <c r="AL1093" s="26" t="s">
        <v>870</v>
      </c>
      <c r="AM1093" s="26" t="s">
        <v>870</v>
      </c>
      <c r="AN1093" s="26" t="s">
        <v>212</v>
      </c>
      <c r="AO1093" s="26" t="s">
        <v>382</v>
      </c>
      <c r="AP1093" s="26" t="s">
        <v>382</v>
      </c>
      <c r="AQ1093" s="26" t="s">
        <v>212</v>
      </c>
      <c r="AR1093" s="26" t="s">
        <v>147</v>
      </c>
      <c r="AS1093" s="26">
        <v>3</v>
      </c>
      <c r="AT1093" s="26">
        <v>3</v>
      </c>
      <c r="AU1093" s="26" t="s">
        <v>379</v>
      </c>
      <c r="AW1093" s="26">
        <f t="shared" ref="AW1093:AW1100" si="231">8.18*1000</f>
        <v>8180</v>
      </c>
      <c r="AX1093" s="26">
        <v>10</v>
      </c>
      <c r="BD1093" s="26">
        <v>480</v>
      </c>
      <c r="BE1093" s="26">
        <v>516</v>
      </c>
      <c r="BM1093" s="26">
        <f>50.5*0.28</f>
        <v>14.14</v>
      </c>
      <c r="BN1093" s="26">
        <f>60.8*0.28</f>
        <v>17.024000000000001</v>
      </c>
      <c r="BO1093" s="26" t="s">
        <v>546</v>
      </c>
      <c r="EP1093" s="26">
        <v>8</v>
      </c>
      <c r="EQ1093" s="26">
        <v>9</v>
      </c>
      <c r="ER1093" s="26" t="s">
        <v>1886</v>
      </c>
      <c r="FR1093" s="26" t="s">
        <v>877</v>
      </c>
      <c r="FT1093" s="26">
        <v>53</v>
      </c>
    </row>
    <row r="1094" spans="1:176" s="26" customFormat="1" x14ac:dyDescent="0.25">
      <c r="A1094" s="26">
        <v>53</v>
      </c>
      <c r="B1094" s="26" t="s">
        <v>866</v>
      </c>
      <c r="C1094" s="26" t="s">
        <v>867</v>
      </c>
      <c r="D1094" s="26">
        <v>2006</v>
      </c>
      <c r="E1094" s="26">
        <v>2000</v>
      </c>
      <c r="F1094" s="26" t="s">
        <v>868</v>
      </c>
      <c r="G1094" s="26" t="s">
        <v>869</v>
      </c>
      <c r="H1094" s="26">
        <v>33.950000000000003</v>
      </c>
      <c r="I1094" s="26">
        <v>-83.38</v>
      </c>
      <c r="J1094" s="26">
        <v>208.4</v>
      </c>
      <c r="M1094" s="26">
        <f t="shared" si="227"/>
        <v>783</v>
      </c>
      <c r="N1094" s="26">
        <f t="shared" si="228"/>
        <v>1233</v>
      </c>
      <c r="P1094" s="52">
        <v>1</v>
      </c>
      <c r="Q1094" s="52"/>
      <c r="R1094" s="52"/>
      <c r="S1094" s="52" t="s">
        <v>1565</v>
      </c>
      <c r="T1094" s="52" t="s">
        <v>1565</v>
      </c>
      <c r="U1094" s="52" t="s">
        <v>1565</v>
      </c>
      <c r="V1094" s="52" t="s">
        <v>1908</v>
      </c>
      <c r="X1094" s="26">
        <f t="shared" si="226"/>
        <v>65</v>
      </c>
      <c r="Y1094" s="26">
        <f>25</f>
        <v>25</v>
      </c>
      <c r="Z1094" s="26" t="s">
        <v>278</v>
      </c>
      <c r="AA1094" s="26">
        <v>6.6</v>
      </c>
      <c r="AB1094" s="26">
        <v>0.88</v>
      </c>
      <c r="AD1094" s="26" t="s">
        <v>1507</v>
      </c>
      <c r="AE1094" s="26" t="s">
        <v>1698</v>
      </c>
      <c r="AF1094" s="152" t="s">
        <v>1762</v>
      </c>
      <c r="AG1094" s="26" t="s">
        <v>673</v>
      </c>
      <c r="AH1094" s="154" t="s">
        <v>1808</v>
      </c>
      <c r="AI1094" s="26" t="s">
        <v>876</v>
      </c>
      <c r="AJ1094" s="26" t="s">
        <v>876</v>
      </c>
      <c r="AK1094" s="26" t="s">
        <v>212</v>
      </c>
      <c r="AL1094" s="26" t="s">
        <v>871</v>
      </c>
      <c r="AM1094" s="26" t="s">
        <v>871</v>
      </c>
      <c r="AN1094" s="26" t="s">
        <v>212</v>
      </c>
      <c r="AO1094" s="26" t="s">
        <v>382</v>
      </c>
      <c r="AP1094" s="26" t="s">
        <v>382</v>
      </c>
      <c r="AQ1094" s="26" t="s">
        <v>212</v>
      </c>
      <c r="AR1094" s="26" t="s">
        <v>147</v>
      </c>
      <c r="AS1094" s="26">
        <v>3</v>
      </c>
      <c r="AT1094" s="26">
        <v>3</v>
      </c>
      <c r="AU1094" s="26" t="s">
        <v>379</v>
      </c>
      <c r="AW1094" s="26">
        <f t="shared" si="231"/>
        <v>8180</v>
      </c>
      <c r="AX1094" s="26">
        <v>10</v>
      </c>
      <c r="BD1094" s="26">
        <v>802</v>
      </c>
      <c r="BE1094" s="26">
        <v>856</v>
      </c>
      <c r="BM1094" s="26">
        <f>51.2*0.28</f>
        <v>14.336000000000002</v>
      </c>
      <c r="BN1094" s="26">
        <f>54.7*0.28</f>
        <v>15.316000000000003</v>
      </c>
      <c r="BO1094" s="26" t="s">
        <v>546</v>
      </c>
      <c r="EP1094" s="26">
        <v>14</v>
      </c>
      <c r="EQ1094" s="26">
        <v>8</v>
      </c>
      <c r="ER1094" s="26" t="s">
        <v>1886</v>
      </c>
      <c r="FR1094" s="26" t="s">
        <v>877</v>
      </c>
      <c r="FT1094" s="26">
        <v>53</v>
      </c>
    </row>
    <row r="1095" spans="1:176" s="26" customFormat="1" x14ac:dyDescent="0.25">
      <c r="A1095" s="26">
        <v>53</v>
      </c>
      <c r="B1095" s="26" t="s">
        <v>866</v>
      </c>
      <c r="C1095" s="26" t="s">
        <v>867</v>
      </c>
      <c r="D1095" s="26">
        <v>2006</v>
      </c>
      <c r="E1095" s="26">
        <v>2000</v>
      </c>
      <c r="F1095" s="26" t="s">
        <v>868</v>
      </c>
      <c r="G1095" s="26" t="s">
        <v>869</v>
      </c>
      <c r="H1095" s="26">
        <v>33.950000000000003</v>
      </c>
      <c r="I1095" s="26">
        <v>-83.38</v>
      </c>
      <c r="J1095" s="26">
        <v>208.4</v>
      </c>
      <c r="M1095" s="26">
        <f t="shared" si="227"/>
        <v>783</v>
      </c>
      <c r="N1095" s="26">
        <f t="shared" si="228"/>
        <v>1233</v>
      </c>
      <c r="P1095" s="52">
        <v>1</v>
      </c>
      <c r="Q1095" s="52"/>
      <c r="R1095" s="52"/>
      <c r="S1095" s="52" t="s">
        <v>1565</v>
      </c>
      <c r="T1095" s="52" t="s">
        <v>1565</v>
      </c>
      <c r="U1095" s="52" t="s">
        <v>1565</v>
      </c>
      <c r="V1095" s="52" t="s">
        <v>1908</v>
      </c>
      <c r="X1095" s="26">
        <f t="shared" si="226"/>
        <v>65</v>
      </c>
      <c r="Y1095" s="26">
        <f>25</f>
        <v>25</v>
      </c>
      <c r="Z1095" s="26" t="s">
        <v>278</v>
      </c>
      <c r="AA1095" s="26">
        <v>6.6</v>
      </c>
      <c r="AB1095" s="26">
        <v>0.88</v>
      </c>
      <c r="AD1095" s="26" t="s">
        <v>1507</v>
      </c>
      <c r="AE1095" s="26" t="s">
        <v>1698</v>
      </c>
      <c r="AF1095" s="152" t="s">
        <v>1762</v>
      </c>
      <c r="AG1095" s="26" t="s">
        <v>673</v>
      </c>
      <c r="AH1095" s="154" t="s">
        <v>1808</v>
      </c>
      <c r="AI1095" s="26" t="s">
        <v>876</v>
      </c>
      <c r="AJ1095" s="26" t="s">
        <v>876</v>
      </c>
      <c r="AK1095" s="26" t="s">
        <v>212</v>
      </c>
      <c r="AL1095" s="26" t="s">
        <v>188</v>
      </c>
      <c r="AM1095" s="26" t="s">
        <v>188</v>
      </c>
      <c r="AN1095" s="26" t="s">
        <v>212</v>
      </c>
      <c r="AO1095" s="26" t="s">
        <v>872</v>
      </c>
      <c r="AP1095" s="26" t="s">
        <v>872</v>
      </c>
      <c r="AQ1095" s="26" t="s">
        <v>212</v>
      </c>
      <c r="AR1095" s="26" t="s">
        <v>147</v>
      </c>
      <c r="AS1095" s="26">
        <v>3</v>
      </c>
      <c r="AT1095" s="26">
        <v>3</v>
      </c>
      <c r="AU1095" s="26" t="s">
        <v>379</v>
      </c>
      <c r="AW1095" s="26">
        <f t="shared" si="231"/>
        <v>8180</v>
      </c>
      <c r="AX1095" s="26">
        <v>10</v>
      </c>
      <c r="BD1095" s="26">
        <v>814</v>
      </c>
      <c r="BE1095" s="26">
        <v>1009</v>
      </c>
      <c r="BM1095" s="26">
        <f>52.5*0.28</f>
        <v>14.700000000000001</v>
      </c>
      <c r="BN1095" s="26">
        <f>56.1*0.28</f>
        <v>15.708000000000002</v>
      </c>
      <c r="BO1095" s="26" t="s">
        <v>546</v>
      </c>
      <c r="FR1095" s="26" t="s">
        <v>877</v>
      </c>
      <c r="FT1095" s="26">
        <v>53</v>
      </c>
    </row>
    <row r="1096" spans="1:176" s="26" customFormat="1" x14ac:dyDescent="0.25">
      <c r="A1096" s="26">
        <v>53</v>
      </c>
      <c r="B1096" s="26" t="s">
        <v>866</v>
      </c>
      <c r="C1096" s="26" t="s">
        <v>867</v>
      </c>
      <c r="D1096" s="26">
        <v>2006</v>
      </c>
      <c r="E1096" s="26">
        <v>2000</v>
      </c>
      <c r="F1096" s="26" t="s">
        <v>868</v>
      </c>
      <c r="G1096" s="26" t="s">
        <v>869</v>
      </c>
      <c r="H1096" s="26">
        <v>33.950000000000003</v>
      </c>
      <c r="I1096" s="26">
        <v>-83.38</v>
      </c>
      <c r="J1096" s="26">
        <v>208.4</v>
      </c>
      <c r="M1096" s="26">
        <f t="shared" si="227"/>
        <v>783</v>
      </c>
      <c r="N1096" s="26">
        <f t="shared" si="228"/>
        <v>1233</v>
      </c>
      <c r="P1096" s="52">
        <v>1</v>
      </c>
      <c r="Q1096" s="52"/>
      <c r="R1096" s="52"/>
      <c r="S1096" s="52" t="s">
        <v>1565</v>
      </c>
      <c r="T1096" s="52" t="s">
        <v>1565</v>
      </c>
      <c r="U1096" s="52" t="s">
        <v>1565</v>
      </c>
      <c r="V1096" s="52" t="s">
        <v>1908</v>
      </c>
      <c r="X1096" s="26">
        <f t="shared" si="226"/>
        <v>65</v>
      </c>
      <c r="Y1096" s="26">
        <f>25</f>
        <v>25</v>
      </c>
      <c r="Z1096" s="26" t="s">
        <v>278</v>
      </c>
      <c r="AA1096" s="26">
        <v>6.6</v>
      </c>
      <c r="AB1096" s="26">
        <v>0.88</v>
      </c>
      <c r="AD1096" s="26" t="s">
        <v>1507</v>
      </c>
      <c r="AE1096" s="26" t="s">
        <v>1698</v>
      </c>
      <c r="AF1096" s="152" t="s">
        <v>1762</v>
      </c>
      <c r="AG1096" s="26" t="s">
        <v>673</v>
      </c>
      <c r="AH1096" s="154" t="s">
        <v>1808</v>
      </c>
      <c r="AI1096" s="26" t="s">
        <v>876</v>
      </c>
      <c r="AJ1096" s="26" t="s">
        <v>876</v>
      </c>
      <c r="AK1096" s="26" t="s">
        <v>212</v>
      </c>
      <c r="AL1096" s="26" t="s">
        <v>870</v>
      </c>
      <c r="AM1096" s="26" t="s">
        <v>870</v>
      </c>
      <c r="AN1096" s="26" t="s">
        <v>212</v>
      </c>
      <c r="AO1096" s="26" t="s">
        <v>872</v>
      </c>
      <c r="AP1096" s="26" t="s">
        <v>872</v>
      </c>
      <c r="AQ1096" s="26" t="s">
        <v>212</v>
      </c>
      <c r="AR1096" s="26" t="s">
        <v>147</v>
      </c>
      <c r="AS1096" s="26">
        <v>3</v>
      </c>
      <c r="AT1096" s="26">
        <v>3</v>
      </c>
      <c r="AU1096" s="26" t="s">
        <v>379</v>
      </c>
      <c r="AW1096" s="26">
        <f t="shared" si="231"/>
        <v>8180</v>
      </c>
      <c r="AX1096" s="26">
        <v>10</v>
      </c>
      <c r="BD1096" s="26">
        <v>480</v>
      </c>
      <c r="BE1096" s="26">
        <v>645</v>
      </c>
      <c r="FR1096" s="26" t="s">
        <v>877</v>
      </c>
      <c r="FT1096" s="26">
        <v>53</v>
      </c>
    </row>
    <row r="1097" spans="1:176" s="26" customFormat="1" x14ac:dyDescent="0.25">
      <c r="A1097" s="26">
        <v>53</v>
      </c>
      <c r="B1097" s="26" t="s">
        <v>866</v>
      </c>
      <c r="C1097" s="26" t="s">
        <v>867</v>
      </c>
      <c r="D1097" s="26">
        <v>2006</v>
      </c>
      <c r="E1097" s="26">
        <v>2000</v>
      </c>
      <c r="F1097" s="26" t="s">
        <v>868</v>
      </c>
      <c r="G1097" s="26" t="s">
        <v>869</v>
      </c>
      <c r="H1097" s="26">
        <v>33.950000000000003</v>
      </c>
      <c r="I1097" s="26">
        <v>-83.38</v>
      </c>
      <c r="J1097" s="26">
        <v>208.4</v>
      </c>
      <c r="M1097" s="26">
        <f t="shared" si="227"/>
        <v>783</v>
      </c>
      <c r="N1097" s="26">
        <f t="shared" si="228"/>
        <v>1233</v>
      </c>
      <c r="P1097" s="52">
        <v>1</v>
      </c>
      <c r="Q1097" s="52"/>
      <c r="R1097" s="52"/>
      <c r="S1097" s="52" t="s">
        <v>1565</v>
      </c>
      <c r="T1097" s="52" t="s">
        <v>1565</v>
      </c>
      <c r="U1097" s="52" t="s">
        <v>1565</v>
      </c>
      <c r="V1097" s="52" t="s">
        <v>1908</v>
      </c>
      <c r="X1097" s="26">
        <f t="shared" si="226"/>
        <v>65</v>
      </c>
      <c r="Y1097" s="26">
        <f>25</f>
        <v>25</v>
      </c>
      <c r="Z1097" s="26" t="s">
        <v>278</v>
      </c>
      <c r="AA1097" s="26">
        <v>6.6</v>
      </c>
      <c r="AB1097" s="26">
        <v>0.88</v>
      </c>
      <c r="AD1097" s="26" t="s">
        <v>1507</v>
      </c>
      <c r="AE1097" s="26" t="s">
        <v>1698</v>
      </c>
      <c r="AF1097" s="152" t="s">
        <v>1762</v>
      </c>
      <c r="AG1097" s="26" t="s">
        <v>673</v>
      </c>
      <c r="AH1097" s="154" t="s">
        <v>1808</v>
      </c>
      <c r="AI1097" s="26" t="s">
        <v>876</v>
      </c>
      <c r="AJ1097" s="26" t="s">
        <v>876</v>
      </c>
      <c r="AK1097" s="26" t="s">
        <v>212</v>
      </c>
      <c r="AL1097" s="26" t="s">
        <v>871</v>
      </c>
      <c r="AM1097" s="26" t="s">
        <v>871</v>
      </c>
      <c r="AN1097" s="26" t="s">
        <v>212</v>
      </c>
      <c r="AO1097" s="26" t="s">
        <v>872</v>
      </c>
      <c r="AP1097" s="26" t="s">
        <v>872</v>
      </c>
      <c r="AQ1097" s="26" t="s">
        <v>212</v>
      </c>
      <c r="AR1097" s="26" t="s">
        <v>147</v>
      </c>
      <c r="AS1097" s="26">
        <v>3</v>
      </c>
      <c r="AT1097" s="26">
        <v>3</v>
      </c>
      <c r="AU1097" s="26" t="s">
        <v>379</v>
      </c>
      <c r="AW1097" s="26">
        <f t="shared" si="231"/>
        <v>8180</v>
      </c>
      <c r="AX1097" s="26">
        <v>10</v>
      </c>
      <c r="BD1097" s="26">
        <v>802</v>
      </c>
      <c r="BE1097" s="26">
        <v>666</v>
      </c>
      <c r="FR1097" s="26" t="s">
        <v>877</v>
      </c>
      <c r="FT1097" s="26">
        <v>53</v>
      </c>
    </row>
    <row r="1098" spans="1:176" s="26" customFormat="1" x14ac:dyDescent="0.25">
      <c r="A1098" s="26">
        <v>53</v>
      </c>
      <c r="B1098" s="26" t="s">
        <v>866</v>
      </c>
      <c r="C1098" s="26" t="s">
        <v>867</v>
      </c>
      <c r="D1098" s="26">
        <v>2006</v>
      </c>
      <c r="E1098" s="26">
        <v>2000</v>
      </c>
      <c r="F1098" s="26" t="s">
        <v>868</v>
      </c>
      <c r="G1098" s="26" t="s">
        <v>869</v>
      </c>
      <c r="H1098" s="26">
        <v>33.950000000000003</v>
      </c>
      <c r="I1098" s="26">
        <v>-83.38</v>
      </c>
      <c r="J1098" s="26">
        <v>208.4</v>
      </c>
      <c r="M1098" s="26">
        <f t="shared" si="227"/>
        <v>783</v>
      </c>
      <c r="N1098" s="26">
        <f t="shared" si="228"/>
        <v>1233</v>
      </c>
      <c r="P1098" s="52">
        <v>1</v>
      </c>
      <c r="Q1098" s="52"/>
      <c r="R1098" s="52"/>
      <c r="S1098" s="52" t="s">
        <v>1565</v>
      </c>
      <c r="T1098" s="52" t="s">
        <v>1565</v>
      </c>
      <c r="U1098" s="52" t="s">
        <v>1565</v>
      </c>
      <c r="V1098" s="52" t="s">
        <v>1908</v>
      </c>
      <c r="X1098" s="26">
        <f t="shared" si="226"/>
        <v>65</v>
      </c>
      <c r="Y1098" s="26">
        <f>25</f>
        <v>25</v>
      </c>
      <c r="Z1098" s="26" t="s">
        <v>278</v>
      </c>
      <c r="AA1098" s="26">
        <v>6.6</v>
      </c>
      <c r="AB1098" s="26">
        <v>0.88</v>
      </c>
      <c r="AD1098" s="26" t="s">
        <v>1507</v>
      </c>
      <c r="AE1098" s="26" t="s">
        <v>1698</v>
      </c>
      <c r="AF1098" s="152" t="s">
        <v>1762</v>
      </c>
      <c r="AG1098" s="26" t="s">
        <v>673</v>
      </c>
      <c r="AH1098" s="154" t="s">
        <v>1808</v>
      </c>
      <c r="AI1098" s="26" t="s">
        <v>876</v>
      </c>
      <c r="AJ1098" s="26" t="s">
        <v>876</v>
      </c>
      <c r="AK1098" s="26" t="s">
        <v>212</v>
      </c>
      <c r="AL1098" s="26" t="s">
        <v>188</v>
      </c>
      <c r="AM1098" s="26" t="s">
        <v>188</v>
      </c>
      <c r="AN1098" s="26" t="s">
        <v>212</v>
      </c>
      <c r="AO1098" s="26" t="s">
        <v>873</v>
      </c>
      <c r="AP1098" s="26" t="s">
        <v>873</v>
      </c>
      <c r="AQ1098" s="26" t="s">
        <v>212</v>
      </c>
      <c r="AR1098" s="26" t="s">
        <v>147</v>
      </c>
      <c r="AS1098" s="26">
        <v>3</v>
      </c>
      <c r="AT1098" s="26">
        <v>3</v>
      </c>
      <c r="AU1098" s="26" t="s">
        <v>379</v>
      </c>
      <c r="AW1098" s="26">
        <f t="shared" si="231"/>
        <v>8180</v>
      </c>
      <c r="AX1098" s="26">
        <v>10</v>
      </c>
      <c r="BD1098" s="26">
        <v>814</v>
      </c>
      <c r="BE1098" s="26">
        <v>824</v>
      </c>
      <c r="BM1098" s="26">
        <f>52.5*0.28</f>
        <v>14.700000000000001</v>
      </c>
      <c r="BN1098" s="26">
        <f>59.9*0.28</f>
        <v>16.772000000000002</v>
      </c>
      <c r="BO1098" s="26" t="s">
        <v>546</v>
      </c>
      <c r="FR1098" s="26" t="s">
        <v>877</v>
      </c>
      <c r="FT1098" s="26">
        <v>53</v>
      </c>
    </row>
    <row r="1099" spans="1:176" s="26" customFormat="1" x14ac:dyDescent="0.25">
      <c r="A1099" s="26">
        <v>53</v>
      </c>
      <c r="B1099" s="26" t="s">
        <v>866</v>
      </c>
      <c r="C1099" s="26" t="s">
        <v>867</v>
      </c>
      <c r="D1099" s="26">
        <v>2006</v>
      </c>
      <c r="E1099" s="26">
        <v>2000</v>
      </c>
      <c r="F1099" s="26" t="s">
        <v>868</v>
      </c>
      <c r="G1099" s="26" t="s">
        <v>869</v>
      </c>
      <c r="H1099" s="26">
        <v>33.950000000000003</v>
      </c>
      <c r="I1099" s="26">
        <v>-83.38</v>
      </c>
      <c r="J1099" s="26">
        <v>208.4</v>
      </c>
      <c r="M1099" s="26">
        <f t="shared" si="227"/>
        <v>783</v>
      </c>
      <c r="N1099" s="26">
        <f t="shared" si="228"/>
        <v>1233</v>
      </c>
      <c r="P1099" s="52">
        <v>1</v>
      </c>
      <c r="Q1099" s="52"/>
      <c r="R1099" s="52"/>
      <c r="S1099" s="52" t="s">
        <v>1565</v>
      </c>
      <c r="T1099" s="52" t="s">
        <v>1565</v>
      </c>
      <c r="U1099" s="52" t="s">
        <v>1565</v>
      </c>
      <c r="V1099" s="52" t="s">
        <v>1908</v>
      </c>
      <c r="X1099" s="26">
        <f t="shared" si="226"/>
        <v>65</v>
      </c>
      <c r="Y1099" s="26">
        <f>25</f>
        <v>25</v>
      </c>
      <c r="Z1099" s="26" t="s">
        <v>278</v>
      </c>
      <c r="AA1099" s="26">
        <v>6.6</v>
      </c>
      <c r="AB1099" s="26">
        <v>0.88</v>
      </c>
      <c r="AD1099" s="26" t="s">
        <v>1507</v>
      </c>
      <c r="AE1099" s="26" t="s">
        <v>1698</v>
      </c>
      <c r="AF1099" s="152" t="s">
        <v>1762</v>
      </c>
      <c r="AG1099" s="26" t="s">
        <v>673</v>
      </c>
      <c r="AH1099" s="154" t="s">
        <v>1808</v>
      </c>
      <c r="AI1099" s="26" t="s">
        <v>876</v>
      </c>
      <c r="AJ1099" s="26" t="s">
        <v>876</v>
      </c>
      <c r="AK1099" s="26" t="s">
        <v>212</v>
      </c>
      <c r="AL1099" s="26" t="s">
        <v>870</v>
      </c>
      <c r="AM1099" s="26" t="s">
        <v>870</v>
      </c>
      <c r="AN1099" s="26" t="s">
        <v>212</v>
      </c>
      <c r="AO1099" s="26" t="s">
        <v>873</v>
      </c>
      <c r="AP1099" s="26" t="s">
        <v>873</v>
      </c>
      <c r="AQ1099" s="26" t="s">
        <v>212</v>
      </c>
      <c r="AR1099" s="26" t="s">
        <v>147</v>
      </c>
      <c r="AS1099" s="26">
        <v>3</v>
      </c>
      <c r="AT1099" s="26">
        <v>3</v>
      </c>
      <c r="AU1099" s="26" t="s">
        <v>379</v>
      </c>
      <c r="AW1099" s="26">
        <f t="shared" si="231"/>
        <v>8180</v>
      </c>
      <c r="AX1099" s="26">
        <v>10</v>
      </c>
      <c r="BD1099" s="26">
        <v>480</v>
      </c>
      <c r="BE1099" s="26">
        <v>594</v>
      </c>
      <c r="FR1099" s="26" t="s">
        <v>877</v>
      </c>
      <c r="FT1099" s="26">
        <v>53</v>
      </c>
    </row>
    <row r="1100" spans="1:176" s="26" customFormat="1" x14ac:dyDescent="0.25">
      <c r="A1100" s="26">
        <v>53</v>
      </c>
      <c r="B1100" s="26" t="s">
        <v>866</v>
      </c>
      <c r="C1100" s="26" t="s">
        <v>867</v>
      </c>
      <c r="D1100" s="26">
        <v>2006</v>
      </c>
      <c r="E1100" s="26">
        <v>2000</v>
      </c>
      <c r="F1100" s="26" t="s">
        <v>868</v>
      </c>
      <c r="G1100" s="26" t="s">
        <v>869</v>
      </c>
      <c r="H1100" s="26">
        <v>33.950000000000003</v>
      </c>
      <c r="I1100" s="26">
        <v>-83.38</v>
      </c>
      <c r="J1100" s="26">
        <v>208.4</v>
      </c>
      <c r="M1100" s="26">
        <f t="shared" si="227"/>
        <v>783</v>
      </c>
      <c r="N1100" s="26">
        <f t="shared" si="228"/>
        <v>1233</v>
      </c>
      <c r="P1100" s="52">
        <v>1</v>
      </c>
      <c r="Q1100" s="52"/>
      <c r="R1100" s="52"/>
      <c r="S1100" s="52" t="s">
        <v>1565</v>
      </c>
      <c r="T1100" s="52" t="s">
        <v>1565</v>
      </c>
      <c r="U1100" s="52" t="s">
        <v>1565</v>
      </c>
      <c r="V1100" s="52" t="s">
        <v>1908</v>
      </c>
      <c r="X1100" s="26">
        <f t="shared" si="226"/>
        <v>65</v>
      </c>
      <c r="Y1100" s="26">
        <f>25</f>
        <v>25</v>
      </c>
      <c r="Z1100" s="26" t="s">
        <v>278</v>
      </c>
      <c r="AA1100" s="26">
        <v>6.6</v>
      </c>
      <c r="AB1100" s="26">
        <v>0.88</v>
      </c>
      <c r="AD1100" s="26" t="s">
        <v>1507</v>
      </c>
      <c r="AE1100" s="26" t="s">
        <v>1698</v>
      </c>
      <c r="AF1100" s="152" t="s">
        <v>1762</v>
      </c>
      <c r="AG1100" s="26" t="s">
        <v>673</v>
      </c>
      <c r="AH1100" s="154" t="s">
        <v>1808</v>
      </c>
      <c r="AI1100" s="26" t="s">
        <v>876</v>
      </c>
      <c r="AJ1100" s="26" t="s">
        <v>876</v>
      </c>
      <c r="AK1100" s="26" t="s">
        <v>212</v>
      </c>
      <c r="AL1100" s="26" t="s">
        <v>871</v>
      </c>
      <c r="AM1100" s="26" t="s">
        <v>871</v>
      </c>
      <c r="AN1100" s="26" t="s">
        <v>212</v>
      </c>
      <c r="AO1100" s="26" t="s">
        <v>873</v>
      </c>
      <c r="AP1100" s="26" t="s">
        <v>873</v>
      </c>
      <c r="AQ1100" s="26" t="s">
        <v>212</v>
      </c>
      <c r="AR1100" s="26" t="s">
        <v>147</v>
      </c>
      <c r="AS1100" s="26">
        <v>3</v>
      </c>
      <c r="AT1100" s="26">
        <v>3</v>
      </c>
      <c r="AU1100" s="26" t="s">
        <v>379</v>
      </c>
      <c r="AW1100" s="26">
        <f t="shared" si="231"/>
        <v>8180</v>
      </c>
      <c r="AX1100" s="26">
        <v>10</v>
      </c>
      <c r="BD1100" s="26">
        <v>802</v>
      </c>
      <c r="BE1100" s="26">
        <v>647</v>
      </c>
      <c r="FR1100" s="26" t="s">
        <v>877</v>
      </c>
      <c r="FT1100" s="26">
        <v>53</v>
      </c>
    </row>
    <row r="1101" spans="1:176" s="83" customFormat="1" x14ac:dyDescent="0.25">
      <c r="A1101" s="83">
        <v>53</v>
      </c>
      <c r="B1101" s="83" t="s">
        <v>866</v>
      </c>
      <c r="C1101" s="83" t="s">
        <v>867</v>
      </c>
      <c r="D1101" s="83">
        <v>2006</v>
      </c>
      <c r="E1101" s="83">
        <v>2001</v>
      </c>
      <c r="F1101" s="83" t="s">
        <v>868</v>
      </c>
      <c r="G1101" s="83" t="s">
        <v>869</v>
      </c>
      <c r="H1101" s="83">
        <v>33.950000000000003</v>
      </c>
      <c r="I1101" s="83">
        <v>-83.38</v>
      </c>
      <c r="J1101" s="83">
        <v>208.4</v>
      </c>
      <c r="M1101" s="83">
        <f>341+407</f>
        <v>748</v>
      </c>
      <c r="N1101" s="83">
        <f t="shared" si="228"/>
        <v>1233</v>
      </c>
      <c r="P1101" s="84">
        <v>2</v>
      </c>
      <c r="Q1101" s="84"/>
      <c r="R1101" s="84"/>
      <c r="S1101" s="84" t="s">
        <v>1565</v>
      </c>
      <c r="T1101" s="84" t="s">
        <v>1565</v>
      </c>
      <c r="U1101" s="84" t="s">
        <v>1565</v>
      </c>
      <c r="V1101" s="52" t="s">
        <v>1908</v>
      </c>
      <c r="X1101" s="83">
        <f t="shared" si="226"/>
        <v>65</v>
      </c>
      <c r="Y1101" s="83">
        <f>25</f>
        <v>25</v>
      </c>
      <c r="Z1101" s="83" t="s">
        <v>278</v>
      </c>
      <c r="AA1101" s="83">
        <v>6.6</v>
      </c>
      <c r="AB1101" s="83">
        <v>0.88</v>
      </c>
      <c r="AD1101" s="26" t="s">
        <v>1507</v>
      </c>
      <c r="AE1101" s="83" t="s">
        <v>159</v>
      </c>
      <c r="AF1101" s="152" t="s">
        <v>159</v>
      </c>
      <c r="AG1101" s="83" t="s">
        <v>258</v>
      </c>
      <c r="AH1101" s="154" t="s">
        <v>1808</v>
      </c>
      <c r="AI1101" s="83" t="s">
        <v>876</v>
      </c>
      <c r="AJ1101" s="83" t="s">
        <v>876</v>
      </c>
      <c r="AK1101" s="83" t="s">
        <v>212</v>
      </c>
      <c r="AL1101" s="83" t="s">
        <v>188</v>
      </c>
      <c r="AM1101" s="83" t="s">
        <v>188</v>
      </c>
      <c r="AN1101" s="83" t="s">
        <v>212</v>
      </c>
      <c r="AO1101" s="83" t="s">
        <v>382</v>
      </c>
      <c r="AP1101" s="83" t="s">
        <v>382</v>
      </c>
      <c r="AQ1101" s="83" t="s">
        <v>212</v>
      </c>
      <c r="AR1101" s="83" t="s">
        <v>147</v>
      </c>
      <c r="AS1101" s="83">
        <v>3</v>
      </c>
      <c r="AT1101" s="83">
        <v>3</v>
      </c>
      <c r="AU1101" s="83" t="s">
        <v>379</v>
      </c>
      <c r="AW1101" s="83">
        <v>3810</v>
      </c>
      <c r="AX1101" s="83">
        <v>57</v>
      </c>
      <c r="BA1101" s="83">
        <v>10600</v>
      </c>
      <c r="BB1101" s="83">
        <v>7100</v>
      </c>
      <c r="BC1101" s="83" t="s">
        <v>1848</v>
      </c>
      <c r="BD1101" s="83">
        <v>2700</v>
      </c>
      <c r="BE1101" s="83">
        <v>1500</v>
      </c>
      <c r="BO1101" s="26"/>
      <c r="EP1101" s="83">
        <v>11</v>
      </c>
      <c r="EQ1101" s="83">
        <v>17</v>
      </c>
      <c r="ER1101" s="26" t="s">
        <v>1886</v>
      </c>
      <c r="FR1101" s="83" t="s">
        <v>877</v>
      </c>
      <c r="FT1101" s="83">
        <v>53</v>
      </c>
    </row>
    <row r="1102" spans="1:176" s="83" customFormat="1" x14ac:dyDescent="0.25">
      <c r="A1102" s="83">
        <v>53</v>
      </c>
      <c r="B1102" s="83" t="s">
        <v>866</v>
      </c>
      <c r="C1102" s="83" t="s">
        <v>867</v>
      </c>
      <c r="D1102" s="83">
        <v>2006</v>
      </c>
      <c r="E1102" s="83">
        <v>2001</v>
      </c>
      <c r="F1102" s="83" t="s">
        <v>868</v>
      </c>
      <c r="G1102" s="83" t="s">
        <v>869</v>
      </c>
      <c r="H1102" s="83">
        <v>33.950000000000003</v>
      </c>
      <c r="I1102" s="83">
        <v>-83.38</v>
      </c>
      <c r="J1102" s="83">
        <v>208.4</v>
      </c>
      <c r="M1102" s="83">
        <f t="shared" ref="M1102:M1109" si="232">341+407</f>
        <v>748</v>
      </c>
      <c r="N1102" s="83">
        <f t="shared" si="228"/>
        <v>1233</v>
      </c>
      <c r="P1102" s="84">
        <v>2</v>
      </c>
      <c r="Q1102" s="84"/>
      <c r="R1102" s="84"/>
      <c r="S1102" s="84" t="s">
        <v>1565</v>
      </c>
      <c r="T1102" s="84" t="s">
        <v>1565</v>
      </c>
      <c r="U1102" s="84" t="s">
        <v>1565</v>
      </c>
      <c r="V1102" s="52" t="s">
        <v>1908</v>
      </c>
      <c r="X1102" s="83">
        <f t="shared" si="226"/>
        <v>65</v>
      </c>
      <c r="Y1102" s="83">
        <f>25</f>
        <v>25</v>
      </c>
      <c r="Z1102" s="83" t="s">
        <v>278</v>
      </c>
      <c r="AA1102" s="83">
        <v>6.6</v>
      </c>
      <c r="AB1102" s="83">
        <v>0.88</v>
      </c>
      <c r="AD1102" s="26" t="s">
        <v>1507</v>
      </c>
      <c r="AE1102" s="83" t="s">
        <v>281</v>
      </c>
      <c r="AF1102" s="152" t="s">
        <v>666</v>
      </c>
      <c r="AG1102" s="83" t="s">
        <v>258</v>
      </c>
      <c r="AH1102" s="154" t="s">
        <v>1808</v>
      </c>
      <c r="AI1102" s="83" t="s">
        <v>876</v>
      </c>
      <c r="AJ1102" s="83" t="s">
        <v>876</v>
      </c>
      <c r="AK1102" s="83" t="s">
        <v>212</v>
      </c>
      <c r="AL1102" s="83" t="s">
        <v>188</v>
      </c>
      <c r="AM1102" s="83" t="s">
        <v>188</v>
      </c>
      <c r="AN1102" s="83" t="s">
        <v>212</v>
      </c>
      <c r="AO1102" s="83" t="s">
        <v>382</v>
      </c>
      <c r="AP1102" s="83" t="s">
        <v>382</v>
      </c>
      <c r="AQ1102" s="83" t="s">
        <v>212</v>
      </c>
      <c r="AR1102" s="83" t="s">
        <v>147</v>
      </c>
      <c r="AS1102" s="83">
        <v>3</v>
      </c>
      <c r="AT1102" s="83">
        <v>3</v>
      </c>
      <c r="AU1102" s="83" t="s">
        <v>379</v>
      </c>
      <c r="AW1102" s="83">
        <v>3810</v>
      </c>
      <c r="AX1102" s="83">
        <v>57</v>
      </c>
      <c r="BA1102" s="83">
        <v>10600</v>
      </c>
      <c r="BB1102" s="83">
        <v>14800</v>
      </c>
      <c r="BC1102" s="83" t="s">
        <v>1848</v>
      </c>
      <c r="BD1102" s="83">
        <v>2700</v>
      </c>
      <c r="BE1102" s="83">
        <v>3300</v>
      </c>
      <c r="BO1102" s="26"/>
      <c r="EP1102" s="83">
        <v>8</v>
      </c>
      <c r="EQ1102" s="83">
        <v>9</v>
      </c>
      <c r="ER1102" s="26" t="s">
        <v>1886</v>
      </c>
      <c r="FR1102" s="83" t="s">
        <v>877</v>
      </c>
      <c r="FT1102" s="83">
        <v>53</v>
      </c>
    </row>
    <row r="1103" spans="1:176" s="83" customFormat="1" x14ac:dyDescent="0.25">
      <c r="A1103" s="83">
        <v>53</v>
      </c>
      <c r="B1103" s="83" t="s">
        <v>866</v>
      </c>
      <c r="C1103" s="83" t="s">
        <v>867</v>
      </c>
      <c r="D1103" s="83">
        <v>2006</v>
      </c>
      <c r="E1103" s="83">
        <v>2001</v>
      </c>
      <c r="F1103" s="83" t="s">
        <v>868</v>
      </c>
      <c r="G1103" s="83" t="s">
        <v>869</v>
      </c>
      <c r="H1103" s="83">
        <v>33.950000000000003</v>
      </c>
      <c r="I1103" s="83">
        <v>-83.38</v>
      </c>
      <c r="J1103" s="83">
        <v>208.4</v>
      </c>
      <c r="M1103" s="83">
        <f t="shared" si="232"/>
        <v>748</v>
      </c>
      <c r="N1103" s="83">
        <f t="shared" si="228"/>
        <v>1233</v>
      </c>
      <c r="P1103" s="84">
        <v>2</v>
      </c>
      <c r="Q1103" s="84"/>
      <c r="R1103" s="84"/>
      <c r="S1103" s="84" t="s">
        <v>1565</v>
      </c>
      <c r="T1103" s="84" t="s">
        <v>1565</v>
      </c>
      <c r="U1103" s="84" t="s">
        <v>1565</v>
      </c>
      <c r="V1103" s="52" t="s">
        <v>1908</v>
      </c>
      <c r="X1103" s="83">
        <f t="shared" si="226"/>
        <v>65</v>
      </c>
      <c r="Y1103" s="83">
        <f>25</f>
        <v>25</v>
      </c>
      <c r="Z1103" s="83" t="s">
        <v>278</v>
      </c>
      <c r="AA1103" s="83">
        <v>6.6</v>
      </c>
      <c r="AB1103" s="83">
        <v>0.88</v>
      </c>
      <c r="AD1103" s="26" t="s">
        <v>1507</v>
      </c>
      <c r="AE1103" s="83" t="s">
        <v>1698</v>
      </c>
      <c r="AF1103" s="152" t="s">
        <v>1762</v>
      </c>
      <c r="AG1103" s="83" t="s">
        <v>258</v>
      </c>
      <c r="AH1103" s="154" t="s">
        <v>1808</v>
      </c>
      <c r="AI1103" s="83" t="s">
        <v>876</v>
      </c>
      <c r="AJ1103" s="83" t="s">
        <v>876</v>
      </c>
      <c r="AK1103" s="83" t="s">
        <v>212</v>
      </c>
      <c r="AL1103" s="83" t="s">
        <v>188</v>
      </c>
      <c r="AM1103" s="83" t="s">
        <v>188</v>
      </c>
      <c r="AN1103" s="83" t="s">
        <v>212</v>
      </c>
      <c r="AO1103" s="83" t="s">
        <v>382</v>
      </c>
      <c r="AP1103" s="83" t="s">
        <v>382</v>
      </c>
      <c r="AQ1103" s="83" t="s">
        <v>212</v>
      </c>
      <c r="AR1103" s="83" t="s">
        <v>147</v>
      </c>
      <c r="AS1103" s="83">
        <v>3</v>
      </c>
      <c r="AT1103" s="83">
        <v>3</v>
      </c>
      <c r="AU1103" s="83" t="s">
        <v>379</v>
      </c>
      <c r="AW1103" s="83">
        <v>3810</v>
      </c>
      <c r="AX1103" s="83">
        <v>57</v>
      </c>
      <c r="BA1103" s="83">
        <v>10600</v>
      </c>
      <c r="BB1103" s="83">
        <v>13800</v>
      </c>
      <c r="BC1103" s="83" t="s">
        <v>1848</v>
      </c>
      <c r="BD1103" s="83">
        <v>2700</v>
      </c>
      <c r="BE1103" s="83">
        <v>3500</v>
      </c>
      <c r="BO1103" s="26"/>
      <c r="EP1103" s="83">
        <v>14</v>
      </c>
      <c r="EQ1103" s="83">
        <v>8</v>
      </c>
      <c r="ER1103" s="26" t="s">
        <v>1886</v>
      </c>
      <c r="FR1103" s="83" t="s">
        <v>877</v>
      </c>
      <c r="FT1103" s="83">
        <v>53</v>
      </c>
    </row>
    <row r="1104" spans="1:176" s="83" customFormat="1" x14ac:dyDescent="0.25">
      <c r="A1104" s="83">
        <v>53</v>
      </c>
      <c r="B1104" s="83" t="s">
        <v>866</v>
      </c>
      <c r="C1104" s="83" t="s">
        <v>867</v>
      </c>
      <c r="D1104" s="83">
        <v>2006</v>
      </c>
      <c r="E1104" s="83">
        <v>2001</v>
      </c>
      <c r="F1104" s="83" t="s">
        <v>868</v>
      </c>
      <c r="G1104" s="83" t="s">
        <v>869</v>
      </c>
      <c r="H1104" s="83">
        <v>33.950000000000003</v>
      </c>
      <c r="I1104" s="83">
        <v>-83.38</v>
      </c>
      <c r="J1104" s="83">
        <v>208.4</v>
      </c>
      <c r="M1104" s="83">
        <f t="shared" si="232"/>
        <v>748</v>
      </c>
      <c r="N1104" s="83">
        <f t="shared" si="228"/>
        <v>1233</v>
      </c>
      <c r="P1104" s="84">
        <v>2</v>
      </c>
      <c r="Q1104" s="84"/>
      <c r="R1104" s="84"/>
      <c r="S1104" s="84" t="s">
        <v>1565</v>
      </c>
      <c r="T1104" s="84" t="s">
        <v>1565</v>
      </c>
      <c r="U1104" s="84" t="s">
        <v>1565</v>
      </c>
      <c r="V1104" s="52" t="s">
        <v>1908</v>
      </c>
      <c r="X1104" s="83">
        <f t="shared" si="226"/>
        <v>65</v>
      </c>
      <c r="Y1104" s="83">
        <f>25</f>
        <v>25</v>
      </c>
      <c r="Z1104" s="83" t="s">
        <v>278</v>
      </c>
      <c r="AA1104" s="83">
        <v>6.6</v>
      </c>
      <c r="AB1104" s="83">
        <v>0.88</v>
      </c>
      <c r="AD1104" s="26" t="s">
        <v>1507</v>
      </c>
      <c r="AE1104" s="83" t="s">
        <v>159</v>
      </c>
      <c r="AF1104" s="152" t="s">
        <v>159</v>
      </c>
      <c r="AG1104" s="83" t="s">
        <v>258</v>
      </c>
      <c r="AH1104" s="154" t="s">
        <v>1808</v>
      </c>
      <c r="AI1104" s="83" t="s">
        <v>876</v>
      </c>
      <c r="AJ1104" s="83" t="s">
        <v>876</v>
      </c>
      <c r="AK1104" s="83" t="s">
        <v>212</v>
      </c>
      <c r="AL1104" s="83" t="s">
        <v>188</v>
      </c>
      <c r="AM1104" s="83" t="s">
        <v>188</v>
      </c>
      <c r="AN1104" s="83" t="s">
        <v>212</v>
      </c>
      <c r="AO1104" s="83" t="s">
        <v>874</v>
      </c>
      <c r="AP1104" s="83" t="s">
        <v>874</v>
      </c>
      <c r="AQ1104" s="83" t="s">
        <v>212</v>
      </c>
      <c r="AR1104" s="83" t="s">
        <v>147</v>
      </c>
      <c r="AS1104" s="83">
        <v>3</v>
      </c>
      <c r="AT1104" s="83">
        <v>3</v>
      </c>
      <c r="AU1104" s="83" t="s">
        <v>379</v>
      </c>
      <c r="AW1104" s="83">
        <v>2440</v>
      </c>
      <c r="AX1104" s="83">
        <v>12</v>
      </c>
      <c r="BA1104" s="83">
        <v>11200</v>
      </c>
      <c r="BB1104" s="83">
        <v>9400</v>
      </c>
      <c r="BC1104" s="83" t="s">
        <v>1848</v>
      </c>
      <c r="BD1104" s="83">
        <v>2200</v>
      </c>
      <c r="BE1104" s="83">
        <v>2200</v>
      </c>
      <c r="BO1104" s="26"/>
      <c r="FR1104" s="83" t="s">
        <v>877</v>
      </c>
      <c r="FT1104" s="83">
        <v>53</v>
      </c>
    </row>
    <row r="1105" spans="1:176" s="83" customFormat="1" x14ac:dyDescent="0.25">
      <c r="A1105" s="83">
        <v>53</v>
      </c>
      <c r="B1105" s="83" t="s">
        <v>866</v>
      </c>
      <c r="C1105" s="83" t="s">
        <v>867</v>
      </c>
      <c r="D1105" s="83">
        <v>2006</v>
      </c>
      <c r="E1105" s="83">
        <v>2001</v>
      </c>
      <c r="F1105" s="83" t="s">
        <v>868</v>
      </c>
      <c r="G1105" s="83" t="s">
        <v>869</v>
      </c>
      <c r="H1105" s="83">
        <v>33.950000000000003</v>
      </c>
      <c r="I1105" s="83">
        <v>-83.38</v>
      </c>
      <c r="J1105" s="83">
        <v>208.4</v>
      </c>
      <c r="M1105" s="83">
        <f t="shared" si="232"/>
        <v>748</v>
      </c>
      <c r="N1105" s="83">
        <f t="shared" si="228"/>
        <v>1233</v>
      </c>
      <c r="P1105" s="84">
        <v>2</v>
      </c>
      <c r="Q1105" s="84"/>
      <c r="R1105" s="84"/>
      <c r="S1105" s="84" t="s">
        <v>1565</v>
      </c>
      <c r="T1105" s="84" t="s">
        <v>1565</v>
      </c>
      <c r="U1105" s="84" t="s">
        <v>1565</v>
      </c>
      <c r="V1105" s="52" t="s">
        <v>1908</v>
      </c>
      <c r="X1105" s="83">
        <f t="shared" si="226"/>
        <v>65</v>
      </c>
      <c r="Y1105" s="83">
        <f>25</f>
        <v>25</v>
      </c>
      <c r="Z1105" s="83" t="s">
        <v>278</v>
      </c>
      <c r="AA1105" s="83">
        <v>6.6</v>
      </c>
      <c r="AB1105" s="83">
        <v>0.88</v>
      </c>
      <c r="AD1105" s="26" t="s">
        <v>1507</v>
      </c>
      <c r="AE1105" s="83" t="s">
        <v>281</v>
      </c>
      <c r="AF1105" s="152" t="s">
        <v>666</v>
      </c>
      <c r="AG1105" s="83" t="s">
        <v>258</v>
      </c>
      <c r="AH1105" s="154" t="s">
        <v>1808</v>
      </c>
      <c r="AI1105" s="83" t="s">
        <v>876</v>
      </c>
      <c r="AJ1105" s="83" t="s">
        <v>876</v>
      </c>
      <c r="AK1105" s="83" t="s">
        <v>212</v>
      </c>
      <c r="AL1105" s="83" t="s">
        <v>188</v>
      </c>
      <c r="AM1105" s="83" t="s">
        <v>188</v>
      </c>
      <c r="AN1105" s="83" t="s">
        <v>212</v>
      </c>
      <c r="AO1105" s="83" t="s">
        <v>874</v>
      </c>
      <c r="AP1105" s="83" t="s">
        <v>874</v>
      </c>
      <c r="AQ1105" s="83" t="s">
        <v>212</v>
      </c>
      <c r="AR1105" s="83" t="s">
        <v>147</v>
      </c>
      <c r="AS1105" s="83">
        <v>3</v>
      </c>
      <c r="AT1105" s="83">
        <v>3</v>
      </c>
      <c r="AU1105" s="83" t="s">
        <v>379</v>
      </c>
      <c r="AW1105" s="83">
        <v>2440</v>
      </c>
      <c r="AX1105" s="83">
        <v>12</v>
      </c>
      <c r="BA1105" s="83">
        <v>11200</v>
      </c>
      <c r="BB1105" s="83">
        <v>14300</v>
      </c>
      <c r="BC1105" s="83" t="s">
        <v>1848</v>
      </c>
      <c r="BD1105" s="83">
        <v>2200</v>
      </c>
      <c r="BE1105" s="83">
        <v>3700</v>
      </c>
      <c r="BO1105" s="26"/>
      <c r="FR1105" s="83" t="s">
        <v>877</v>
      </c>
      <c r="FT1105" s="83">
        <v>53</v>
      </c>
    </row>
    <row r="1106" spans="1:176" s="83" customFormat="1" x14ac:dyDescent="0.25">
      <c r="A1106" s="83">
        <v>53</v>
      </c>
      <c r="B1106" s="83" t="s">
        <v>866</v>
      </c>
      <c r="C1106" s="83" t="s">
        <v>867</v>
      </c>
      <c r="D1106" s="83">
        <v>2006</v>
      </c>
      <c r="E1106" s="83">
        <v>2001</v>
      </c>
      <c r="F1106" s="83" t="s">
        <v>868</v>
      </c>
      <c r="G1106" s="83" t="s">
        <v>869</v>
      </c>
      <c r="H1106" s="83">
        <v>33.950000000000003</v>
      </c>
      <c r="I1106" s="83">
        <v>-83.38</v>
      </c>
      <c r="J1106" s="83">
        <v>208.4</v>
      </c>
      <c r="M1106" s="83">
        <f t="shared" si="232"/>
        <v>748</v>
      </c>
      <c r="N1106" s="83">
        <f t="shared" si="228"/>
        <v>1233</v>
      </c>
      <c r="P1106" s="84">
        <v>2</v>
      </c>
      <c r="Q1106" s="84"/>
      <c r="R1106" s="84"/>
      <c r="S1106" s="84" t="s">
        <v>1565</v>
      </c>
      <c r="T1106" s="84" t="s">
        <v>1565</v>
      </c>
      <c r="U1106" s="84" t="s">
        <v>1565</v>
      </c>
      <c r="V1106" s="52" t="s">
        <v>1908</v>
      </c>
      <c r="X1106" s="83">
        <f t="shared" si="226"/>
        <v>65</v>
      </c>
      <c r="Y1106" s="83">
        <f>25</f>
        <v>25</v>
      </c>
      <c r="Z1106" s="83" t="s">
        <v>278</v>
      </c>
      <c r="AA1106" s="83">
        <v>6.6</v>
      </c>
      <c r="AB1106" s="83">
        <v>0.88</v>
      </c>
      <c r="AD1106" s="26" t="s">
        <v>1507</v>
      </c>
      <c r="AE1106" s="83" t="s">
        <v>1698</v>
      </c>
      <c r="AF1106" s="152" t="s">
        <v>1762</v>
      </c>
      <c r="AG1106" s="83" t="s">
        <v>258</v>
      </c>
      <c r="AH1106" s="154" t="s">
        <v>1808</v>
      </c>
      <c r="AI1106" s="83" t="s">
        <v>876</v>
      </c>
      <c r="AJ1106" s="83" t="s">
        <v>876</v>
      </c>
      <c r="AK1106" s="83" t="s">
        <v>212</v>
      </c>
      <c r="AL1106" s="83" t="s">
        <v>188</v>
      </c>
      <c r="AM1106" s="83" t="s">
        <v>188</v>
      </c>
      <c r="AN1106" s="83" t="s">
        <v>212</v>
      </c>
      <c r="AO1106" s="83" t="s">
        <v>874</v>
      </c>
      <c r="AP1106" s="83" t="s">
        <v>874</v>
      </c>
      <c r="AQ1106" s="83" t="s">
        <v>212</v>
      </c>
      <c r="AR1106" s="83" t="s">
        <v>147</v>
      </c>
      <c r="AS1106" s="83">
        <v>3</v>
      </c>
      <c r="AT1106" s="83">
        <v>3</v>
      </c>
      <c r="AU1106" s="83" t="s">
        <v>379</v>
      </c>
      <c r="AW1106" s="83">
        <v>2440</v>
      </c>
      <c r="AX1106" s="83">
        <v>12</v>
      </c>
      <c r="BA1106" s="83">
        <v>11200</v>
      </c>
      <c r="BB1106" s="83">
        <v>14600</v>
      </c>
      <c r="BC1106" s="83" t="s">
        <v>1848</v>
      </c>
      <c r="BD1106" s="83">
        <v>2200</v>
      </c>
      <c r="BE1106" s="83">
        <v>4100</v>
      </c>
      <c r="BO1106" s="26"/>
      <c r="FR1106" s="83" t="s">
        <v>877</v>
      </c>
      <c r="FT1106" s="83">
        <v>53</v>
      </c>
    </row>
    <row r="1107" spans="1:176" s="83" customFormat="1" x14ac:dyDescent="0.25">
      <c r="A1107" s="83">
        <v>53</v>
      </c>
      <c r="B1107" s="83" t="s">
        <v>866</v>
      </c>
      <c r="C1107" s="83" t="s">
        <v>867</v>
      </c>
      <c r="D1107" s="83">
        <v>2006</v>
      </c>
      <c r="E1107" s="83">
        <v>2001</v>
      </c>
      <c r="F1107" s="83" t="s">
        <v>868</v>
      </c>
      <c r="G1107" s="83" t="s">
        <v>869</v>
      </c>
      <c r="H1107" s="83">
        <v>33.950000000000003</v>
      </c>
      <c r="I1107" s="83">
        <v>-83.38</v>
      </c>
      <c r="J1107" s="83">
        <v>208.4</v>
      </c>
      <c r="M1107" s="83">
        <f t="shared" si="232"/>
        <v>748</v>
      </c>
      <c r="N1107" s="83">
        <f t="shared" si="228"/>
        <v>1233</v>
      </c>
      <c r="P1107" s="84">
        <v>2</v>
      </c>
      <c r="Q1107" s="84"/>
      <c r="R1107" s="84"/>
      <c r="S1107" s="84" t="s">
        <v>1565</v>
      </c>
      <c r="T1107" s="84" t="s">
        <v>1565</v>
      </c>
      <c r="U1107" s="84" t="s">
        <v>1565</v>
      </c>
      <c r="V1107" s="52" t="s">
        <v>1908</v>
      </c>
      <c r="X1107" s="83">
        <f t="shared" si="226"/>
        <v>65</v>
      </c>
      <c r="Y1107" s="83">
        <f>25</f>
        <v>25</v>
      </c>
      <c r="Z1107" s="83" t="s">
        <v>278</v>
      </c>
      <c r="AA1107" s="83">
        <v>6.6</v>
      </c>
      <c r="AB1107" s="83">
        <v>0.88</v>
      </c>
      <c r="AD1107" s="26" t="s">
        <v>1507</v>
      </c>
      <c r="AE1107" s="83" t="s">
        <v>159</v>
      </c>
      <c r="AF1107" s="152" t="s">
        <v>159</v>
      </c>
      <c r="AG1107" s="83" t="s">
        <v>258</v>
      </c>
      <c r="AH1107" s="154" t="s">
        <v>1808</v>
      </c>
      <c r="AI1107" s="83" t="s">
        <v>876</v>
      </c>
      <c r="AJ1107" s="83" t="s">
        <v>876</v>
      </c>
      <c r="AK1107" s="83" t="s">
        <v>212</v>
      </c>
      <c r="AL1107" s="83" t="s">
        <v>188</v>
      </c>
      <c r="AM1107" s="83" t="s">
        <v>188</v>
      </c>
      <c r="AN1107" s="83" t="s">
        <v>212</v>
      </c>
      <c r="AO1107" s="83" t="s">
        <v>875</v>
      </c>
      <c r="AP1107" s="83" t="s">
        <v>875</v>
      </c>
      <c r="AQ1107" s="83" t="s">
        <v>212</v>
      </c>
      <c r="AR1107" s="83" t="s">
        <v>147</v>
      </c>
      <c r="AS1107" s="83">
        <v>3</v>
      </c>
      <c r="AT1107" s="83">
        <v>3</v>
      </c>
      <c r="AU1107" s="83" t="s">
        <v>379</v>
      </c>
      <c r="AW1107" s="83">
        <v>5980</v>
      </c>
      <c r="AX1107" s="83">
        <v>32</v>
      </c>
      <c r="BA1107" s="83">
        <v>14300</v>
      </c>
      <c r="BB1107" s="83">
        <v>11700</v>
      </c>
      <c r="BC1107" s="83" t="s">
        <v>1848</v>
      </c>
      <c r="BD1107" s="83">
        <v>3400</v>
      </c>
      <c r="BE1107" s="83">
        <v>3300</v>
      </c>
      <c r="BO1107" s="26"/>
      <c r="FR1107" s="83" t="s">
        <v>877</v>
      </c>
      <c r="FT1107" s="83">
        <v>53</v>
      </c>
    </row>
    <row r="1108" spans="1:176" s="83" customFormat="1" x14ac:dyDescent="0.25">
      <c r="A1108" s="83">
        <v>53</v>
      </c>
      <c r="B1108" s="83" t="s">
        <v>866</v>
      </c>
      <c r="C1108" s="83" t="s">
        <v>867</v>
      </c>
      <c r="D1108" s="83">
        <v>2006</v>
      </c>
      <c r="E1108" s="83">
        <v>2001</v>
      </c>
      <c r="F1108" s="83" t="s">
        <v>868</v>
      </c>
      <c r="G1108" s="83" t="s">
        <v>869</v>
      </c>
      <c r="H1108" s="83">
        <v>33.950000000000003</v>
      </c>
      <c r="I1108" s="83">
        <v>-83.38</v>
      </c>
      <c r="J1108" s="83">
        <v>208.4</v>
      </c>
      <c r="M1108" s="83">
        <f t="shared" si="232"/>
        <v>748</v>
      </c>
      <c r="N1108" s="83">
        <f t="shared" si="228"/>
        <v>1233</v>
      </c>
      <c r="P1108" s="84">
        <v>2</v>
      </c>
      <c r="Q1108" s="84"/>
      <c r="R1108" s="84"/>
      <c r="S1108" s="84" t="s">
        <v>1565</v>
      </c>
      <c r="T1108" s="84" t="s">
        <v>1565</v>
      </c>
      <c r="U1108" s="84" t="s">
        <v>1565</v>
      </c>
      <c r="V1108" s="52" t="s">
        <v>1908</v>
      </c>
      <c r="X1108" s="83">
        <f t="shared" si="226"/>
        <v>65</v>
      </c>
      <c r="Y1108" s="83">
        <f>25</f>
        <v>25</v>
      </c>
      <c r="Z1108" s="83" t="s">
        <v>278</v>
      </c>
      <c r="AA1108" s="83">
        <v>6.6</v>
      </c>
      <c r="AB1108" s="83">
        <v>0.88</v>
      </c>
      <c r="AD1108" s="26" t="s">
        <v>1507</v>
      </c>
      <c r="AE1108" s="83" t="s">
        <v>281</v>
      </c>
      <c r="AF1108" s="152" t="s">
        <v>666</v>
      </c>
      <c r="AG1108" s="83" t="s">
        <v>258</v>
      </c>
      <c r="AH1108" s="154" t="s">
        <v>1808</v>
      </c>
      <c r="AI1108" s="83" t="s">
        <v>876</v>
      </c>
      <c r="AJ1108" s="83" t="s">
        <v>876</v>
      </c>
      <c r="AK1108" s="83" t="s">
        <v>212</v>
      </c>
      <c r="AL1108" s="83" t="s">
        <v>188</v>
      </c>
      <c r="AM1108" s="83" t="s">
        <v>188</v>
      </c>
      <c r="AN1108" s="83" t="s">
        <v>212</v>
      </c>
      <c r="AO1108" s="83" t="s">
        <v>875</v>
      </c>
      <c r="AP1108" s="83" t="s">
        <v>875</v>
      </c>
      <c r="AQ1108" s="83" t="s">
        <v>212</v>
      </c>
      <c r="AR1108" s="83" t="s">
        <v>147</v>
      </c>
      <c r="AS1108" s="83">
        <v>3</v>
      </c>
      <c r="AT1108" s="83">
        <v>3</v>
      </c>
      <c r="AU1108" s="83" t="s">
        <v>379</v>
      </c>
      <c r="AW1108" s="83">
        <v>5980</v>
      </c>
      <c r="AX1108" s="83">
        <v>32</v>
      </c>
      <c r="BA1108" s="83">
        <v>14300</v>
      </c>
      <c r="BB1108" s="83">
        <v>13200</v>
      </c>
      <c r="BC1108" s="83" t="s">
        <v>1848</v>
      </c>
      <c r="BD1108" s="83">
        <v>3400</v>
      </c>
      <c r="BE1108" s="83">
        <v>3600</v>
      </c>
      <c r="BO1108" s="26"/>
      <c r="FR1108" s="83" t="s">
        <v>877</v>
      </c>
      <c r="FT1108" s="83">
        <v>53</v>
      </c>
    </row>
    <row r="1109" spans="1:176" s="83" customFormat="1" x14ac:dyDescent="0.25">
      <c r="A1109" s="83">
        <v>53</v>
      </c>
      <c r="B1109" s="83" t="s">
        <v>866</v>
      </c>
      <c r="C1109" s="83" t="s">
        <v>867</v>
      </c>
      <c r="D1109" s="83">
        <v>2006</v>
      </c>
      <c r="E1109" s="83">
        <v>2001</v>
      </c>
      <c r="F1109" s="83" t="s">
        <v>868</v>
      </c>
      <c r="G1109" s="83" t="s">
        <v>869</v>
      </c>
      <c r="H1109" s="83">
        <v>33.950000000000003</v>
      </c>
      <c r="I1109" s="83">
        <v>-83.38</v>
      </c>
      <c r="J1109" s="83">
        <v>208.4</v>
      </c>
      <c r="M1109" s="83">
        <f t="shared" si="232"/>
        <v>748</v>
      </c>
      <c r="N1109" s="83">
        <f t="shared" si="228"/>
        <v>1233</v>
      </c>
      <c r="P1109" s="84">
        <v>2</v>
      </c>
      <c r="Q1109" s="84"/>
      <c r="R1109" s="84"/>
      <c r="S1109" s="84" t="s">
        <v>1565</v>
      </c>
      <c r="T1109" s="84" t="s">
        <v>1565</v>
      </c>
      <c r="U1109" s="84" t="s">
        <v>1565</v>
      </c>
      <c r="V1109" s="52" t="s">
        <v>1908</v>
      </c>
      <c r="X1109" s="83">
        <f t="shared" si="226"/>
        <v>65</v>
      </c>
      <c r="Y1109" s="83">
        <f>25</f>
        <v>25</v>
      </c>
      <c r="Z1109" s="83" t="s">
        <v>278</v>
      </c>
      <c r="AA1109" s="83">
        <v>6.6</v>
      </c>
      <c r="AB1109" s="83">
        <v>0.88</v>
      </c>
      <c r="AD1109" s="26" t="s">
        <v>1507</v>
      </c>
      <c r="AE1109" s="83" t="s">
        <v>1698</v>
      </c>
      <c r="AF1109" s="152" t="s">
        <v>1762</v>
      </c>
      <c r="AG1109" s="83" t="s">
        <v>258</v>
      </c>
      <c r="AH1109" s="154" t="s">
        <v>1808</v>
      </c>
      <c r="AI1109" s="83" t="s">
        <v>876</v>
      </c>
      <c r="AJ1109" s="83" t="s">
        <v>876</v>
      </c>
      <c r="AK1109" s="83" t="s">
        <v>212</v>
      </c>
      <c r="AL1109" s="83" t="s">
        <v>188</v>
      </c>
      <c r="AM1109" s="83" t="s">
        <v>188</v>
      </c>
      <c r="AN1109" s="83" t="s">
        <v>212</v>
      </c>
      <c r="AO1109" s="83" t="s">
        <v>875</v>
      </c>
      <c r="AP1109" s="83" t="s">
        <v>875</v>
      </c>
      <c r="AQ1109" s="83" t="s">
        <v>212</v>
      </c>
      <c r="AR1109" s="83" t="s">
        <v>147</v>
      </c>
      <c r="AS1109" s="83">
        <v>3</v>
      </c>
      <c r="AT1109" s="83">
        <v>3</v>
      </c>
      <c r="AU1109" s="83" t="s">
        <v>379</v>
      </c>
      <c r="AW1109" s="83">
        <v>5980</v>
      </c>
      <c r="AX1109" s="83">
        <v>32</v>
      </c>
      <c r="BA1109" s="83">
        <v>14300</v>
      </c>
      <c r="BB1109" s="83">
        <v>14100</v>
      </c>
      <c r="BC1109" s="83" t="s">
        <v>1848</v>
      </c>
      <c r="BD1109" s="83">
        <v>3400</v>
      </c>
      <c r="BE1109" s="83">
        <v>4400</v>
      </c>
      <c r="BO1109" s="26"/>
      <c r="FR1109" s="83" t="s">
        <v>877</v>
      </c>
      <c r="FT1109" s="83">
        <v>53</v>
      </c>
    </row>
    <row r="1110" spans="1:176" s="35" customFormat="1" x14ac:dyDescent="0.25">
      <c r="A1110" s="35">
        <v>53</v>
      </c>
      <c r="B1110" s="35" t="s">
        <v>866</v>
      </c>
      <c r="C1110" s="35" t="s">
        <v>867</v>
      </c>
      <c r="D1110" s="35">
        <v>2006</v>
      </c>
      <c r="E1110" s="35">
        <v>2002</v>
      </c>
      <c r="F1110" s="35" t="s">
        <v>868</v>
      </c>
      <c r="G1110" s="35" t="s">
        <v>869</v>
      </c>
      <c r="H1110" s="35">
        <v>33.950000000000003</v>
      </c>
      <c r="I1110" s="35">
        <v>-83.38</v>
      </c>
      <c r="J1110" s="35">
        <v>208.4</v>
      </c>
      <c r="M1110" s="35">
        <v>971</v>
      </c>
      <c r="N1110" s="35">
        <f t="shared" si="228"/>
        <v>1233</v>
      </c>
      <c r="P1110" s="54">
        <v>3</v>
      </c>
      <c r="Q1110" s="54"/>
      <c r="R1110" s="54"/>
      <c r="S1110" s="54" t="s">
        <v>1565</v>
      </c>
      <c r="T1110" s="54" t="s">
        <v>1565</v>
      </c>
      <c r="U1110" s="54" t="s">
        <v>1565</v>
      </c>
      <c r="V1110" s="54" t="s">
        <v>1908</v>
      </c>
      <c r="X1110" s="35">
        <f t="shared" si="226"/>
        <v>65</v>
      </c>
      <c r="Y1110" s="35">
        <f>25</f>
        <v>25</v>
      </c>
      <c r="Z1110" s="35" t="s">
        <v>278</v>
      </c>
      <c r="AA1110" s="35">
        <v>6.6</v>
      </c>
      <c r="AB1110" s="35">
        <v>0.88</v>
      </c>
      <c r="AD1110" s="35" t="s">
        <v>1507</v>
      </c>
      <c r="AE1110" s="35" t="s">
        <v>1698</v>
      </c>
      <c r="AF1110" s="152" t="s">
        <v>1762</v>
      </c>
      <c r="AG1110" s="35" t="s">
        <v>673</v>
      </c>
      <c r="AH1110" s="154" t="s">
        <v>1808</v>
      </c>
      <c r="AI1110" s="35" t="s">
        <v>876</v>
      </c>
      <c r="AJ1110" s="35" t="s">
        <v>876</v>
      </c>
      <c r="AK1110" s="35" t="s">
        <v>212</v>
      </c>
      <c r="AL1110" s="35" t="s">
        <v>188</v>
      </c>
      <c r="AM1110" s="35" t="s">
        <v>188</v>
      </c>
      <c r="AN1110" s="35" t="s">
        <v>212</v>
      </c>
      <c r="AO1110" s="35" t="s">
        <v>382</v>
      </c>
      <c r="AP1110" s="35" t="s">
        <v>382</v>
      </c>
      <c r="AQ1110" s="35" t="s">
        <v>212</v>
      </c>
      <c r="AR1110" s="35" t="s">
        <v>147</v>
      </c>
      <c r="AS1110" s="35">
        <v>3</v>
      </c>
      <c r="AT1110" s="35">
        <v>3</v>
      </c>
      <c r="AU1110" s="35" t="s">
        <v>379</v>
      </c>
      <c r="AW1110" s="35">
        <v>2280</v>
      </c>
      <c r="AX1110" s="35">
        <v>40</v>
      </c>
      <c r="BD1110" s="35">
        <v>814</v>
      </c>
      <c r="BE1110" s="35">
        <v>692</v>
      </c>
      <c r="EP1110" s="35">
        <v>11</v>
      </c>
      <c r="EQ1110" s="35">
        <v>14</v>
      </c>
      <c r="ER1110" s="35" t="s">
        <v>1886</v>
      </c>
      <c r="FR1110" s="35" t="s">
        <v>877</v>
      </c>
      <c r="FT1110" s="35">
        <v>53</v>
      </c>
    </row>
    <row r="1111" spans="1:176" s="35" customFormat="1" x14ac:dyDescent="0.25">
      <c r="A1111" s="35">
        <v>53</v>
      </c>
      <c r="B1111" s="35" t="s">
        <v>866</v>
      </c>
      <c r="C1111" s="35" t="s">
        <v>867</v>
      </c>
      <c r="D1111" s="35">
        <v>2006</v>
      </c>
      <c r="E1111" s="35">
        <v>2002</v>
      </c>
      <c r="F1111" s="35" t="s">
        <v>868</v>
      </c>
      <c r="G1111" s="35" t="s">
        <v>869</v>
      </c>
      <c r="H1111" s="35">
        <v>33.950000000000003</v>
      </c>
      <c r="I1111" s="35">
        <v>-83.38</v>
      </c>
      <c r="J1111" s="35">
        <v>208.4</v>
      </c>
      <c r="M1111" s="35">
        <v>971</v>
      </c>
      <c r="N1111" s="35">
        <f t="shared" si="228"/>
        <v>1233</v>
      </c>
      <c r="P1111" s="54">
        <v>3</v>
      </c>
      <c r="Q1111" s="54"/>
      <c r="R1111" s="54"/>
      <c r="S1111" s="54" t="s">
        <v>1565</v>
      </c>
      <c r="T1111" s="54" t="s">
        <v>1565</v>
      </c>
      <c r="U1111" s="54" t="s">
        <v>1565</v>
      </c>
      <c r="V1111" s="54" t="s">
        <v>1908</v>
      </c>
      <c r="X1111" s="35">
        <f t="shared" si="226"/>
        <v>65</v>
      </c>
      <c r="Y1111" s="35">
        <f>25</f>
        <v>25</v>
      </c>
      <c r="Z1111" s="35" t="s">
        <v>278</v>
      </c>
      <c r="AA1111" s="35">
        <v>6.6</v>
      </c>
      <c r="AB1111" s="35">
        <v>0.88</v>
      </c>
      <c r="AD1111" s="35" t="s">
        <v>1507</v>
      </c>
      <c r="AE1111" s="35" t="s">
        <v>1698</v>
      </c>
      <c r="AF1111" s="152" t="s">
        <v>1762</v>
      </c>
      <c r="AG1111" s="35" t="s">
        <v>673</v>
      </c>
      <c r="AH1111" s="154" t="s">
        <v>1808</v>
      </c>
      <c r="AI1111" s="35" t="s">
        <v>876</v>
      </c>
      <c r="AJ1111" s="35" t="s">
        <v>876</v>
      </c>
      <c r="AK1111" s="35" t="s">
        <v>212</v>
      </c>
      <c r="AL1111" s="35" t="s">
        <v>870</v>
      </c>
      <c r="AM1111" s="35" t="s">
        <v>870</v>
      </c>
      <c r="AN1111" s="35" t="s">
        <v>212</v>
      </c>
      <c r="AO1111" s="35" t="s">
        <v>382</v>
      </c>
      <c r="AP1111" s="35" t="s">
        <v>382</v>
      </c>
      <c r="AQ1111" s="35" t="s">
        <v>212</v>
      </c>
      <c r="AR1111" s="35" t="s">
        <v>147</v>
      </c>
      <c r="AS1111" s="35">
        <v>3</v>
      </c>
      <c r="AT1111" s="35">
        <v>3</v>
      </c>
      <c r="AU1111" s="35" t="s">
        <v>379</v>
      </c>
      <c r="AW1111" s="35">
        <v>2280</v>
      </c>
      <c r="AX1111" s="35">
        <v>40</v>
      </c>
      <c r="BD1111" s="35">
        <v>480</v>
      </c>
      <c r="BE1111" s="35">
        <v>826</v>
      </c>
      <c r="EP1111" s="35">
        <v>8</v>
      </c>
      <c r="EQ1111" s="35">
        <v>14</v>
      </c>
      <c r="ER1111" s="35" t="s">
        <v>1886</v>
      </c>
      <c r="FR1111" s="35" t="s">
        <v>877</v>
      </c>
      <c r="FT1111" s="35">
        <v>53</v>
      </c>
    </row>
    <row r="1112" spans="1:176" s="35" customFormat="1" x14ac:dyDescent="0.25">
      <c r="A1112" s="35">
        <v>53</v>
      </c>
      <c r="B1112" s="35" t="s">
        <v>866</v>
      </c>
      <c r="C1112" s="35" t="s">
        <v>867</v>
      </c>
      <c r="D1112" s="35">
        <v>2006</v>
      </c>
      <c r="E1112" s="35">
        <v>2002</v>
      </c>
      <c r="F1112" s="35" t="s">
        <v>868</v>
      </c>
      <c r="G1112" s="35" t="s">
        <v>869</v>
      </c>
      <c r="H1112" s="35">
        <v>33.950000000000003</v>
      </c>
      <c r="I1112" s="35">
        <v>-83.38</v>
      </c>
      <c r="J1112" s="35">
        <v>208.4</v>
      </c>
      <c r="M1112" s="35">
        <v>971</v>
      </c>
      <c r="N1112" s="35">
        <f t="shared" si="228"/>
        <v>1233</v>
      </c>
      <c r="P1112" s="54">
        <v>3</v>
      </c>
      <c r="Q1112" s="54"/>
      <c r="R1112" s="54"/>
      <c r="S1112" s="54" t="s">
        <v>1565</v>
      </c>
      <c r="T1112" s="54" t="s">
        <v>1565</v>
      </c>
      <c r="U1112" s="54" t="s">
        <v>1565</v>
      </c>
      <c r="V1112" s="54" t="s">
        <v>1908</v>
      </c>
      <c r="X1112" s="35">
        <f t="shared" si="226"/>
        <v>65</v>
      </c>
      <c r="Y1112" s="35">
        <f>25</f>
        <v>25</v>
      </c>
      <c r="Z1112" s="35" t="s">
        <v>278</v>
      </c>
      <c r="AA1112" s="35">
        <v>6.6</v>
      </c>
      <c r="AB1112" s="35">
        <v>0.88</v>
      </c>
      <c r="AD1112" s="35" t="s">
        <v>1507</v>
      </c>
      <c r="AE1112" s="35" t="s">
        <v>1698</v>
      </c>
      <c r="AF1112" s="152" t="s">
        <v>1762</v>
      </c>
      <c r="AG1112" s="35" t="s">
        <v>673</v>
      </c>
      <c r="AH1112" s="154" t="s">
        <v>1808</v>
      </c>
      <c r="AI1112" s="35" t="s">
        <v>876</v>
      </c>
      <c r="AJ1112" s="35" t="s">
        <v>876</v>
      </c>
      <c r="AK1112" s="35" t="s">
        <v>212</v>
      </c>
      <c r="AL1112" s="35" t="s">
        <v>871</v>
      </c>
      <c r="AM1112" s="35" t="s">
        <v>871</v>
      </c>
      <c r="AN1112" s="35" t="s">
        <v>212</v>
      </c>
      <c r="AO1112" s="35" t="s">
        <v>382</v>
      </c>
      <c r="AP1112" s="35" t="s">
        <v>382</v>
      </c>
      <c r="AQ1112" s="35" t="s">
        <v>212</v>
      </c>
      <c r="AR1112" s="35" t="s">
        <v>147</v>
      </c>
      <c r="AS1112" s="35">
        <v>3</v>
      </c>
      <c r="AT1112" s="35">
        <v>3</v>
      </c>
      <c r="AU1112" s="35" t="s">
        <v>379</v>
      </c>
      <c r="AW1112" s="35">
        <v>2280</v>
      </c>
      <c r="AX1112" s="35">
        <v>40</v>
      </c>
      <c r="BD1112" s="35">
        <v>802</v>
      </c>
      <c r="BE1112" s="35">
        <v>1546</v>
      </c>
      <c r="EP1112" s="35">
        <v>14</v>
      </c>
      <c r="EQ1112" s="35">
        <v>22</v>
      </c>
      <c r="ER1112" s="35" t="s">
        <v>1886</v>
      </c>
      <c r="FR1112" s="35" t="s">
        <v>877</v>
      </c>
      <c r="FT1112" s="35">
        <v>53</v>
      </c>
    </row>
    <row r="1113" spans="1:176" s="35" customFormat="1" x14ac:dyDescent="0.25">
      <c r="A1113" s="35">
        <v>53</v>
      </c>
      <c r="B1113" s="35" t="s">
        <v>866</v>
      </c>
      <c r="C1113" s="35" t="s">
        <v>867</v>
      </c>
      <c r="D1113" s="35">
        <v>2006</v>
      </c>
      <c r="E1113" s="35">
        <v>2002</v>
      </c>
      <c r="F1113" s="35" t="s">
        <v>868</v>
      </c>
      <c r="G1113" s="35" t="s">
        <v>869</v>
      </c>
      <c r="H1113" s="35">
        <v>33.950000000000003</v>
      </c>
      <c r="I1113" s="35">
        <v>-83.38</v>
      </c>
      <c r="J1113" s="35">
        <v>208.4</v>
      </c>
      <c r="M1113" s="35">
        <v>971</v>
      </c>
      <c r="N1113" s="35">
        <f t="shared" si="228"/>
        <v>1233</v>
      </c>
      <c r="P1113" s="54">
        <v>3</v>
      </c>
      <c r="Q1113" s="54"/>
      <c r="R1113" s="54"/>
      <c r="S1113" s="54" t="s">
        <v>1565</v>
      </c>
      <c r="T1113" s="54" t="s">
        <v>1565</v>
      </c>
      <c r="U1113" s="54" t="s">
        <v>1565</v>
      </c>
      <c r="V1113" s="54" t="s">
        <v>1908</v>
      </c>
      <c r="X1113" s="35">
        <f t="shared" si="226"/>
        <v>65</v>
      </c>
      <c r="Y1113" s="35">
        <f>25</f>
        <v>25</v>
      </c>
      <c r="Z1113" s="35" t="s">
        <v>278</v>
      </c>
      <c r="AA1113" s="35">
        <v>6.6</v>
      </c>
      <c r="AB1113" s="35">
        <v>0.88</v>
      </c>
      <c r="AD1113" s="35" t="s">
        <v>1507</v>
      </c>
      <c r="AE1113" s="35" t="s">
        <v>1698</v>
      </c>
      <c r="AF1113" s="152" t="s">
        <v>1762</v>
      </c>
      <c r="AG1113" s="35" t="s">
        <v>673</v>
      </c>
      <c r="AH1113" s="154" t="s">
        <v>1808</v>
      </c>
      <c r="AI1113" s="35" t="s">
        <v>876</v>
      </c>
      <c r="AJ1113" s="35" t="s">
        <v>876</v>
      </c>
      <c r="AK1113" s="35" t="s">
        <v>212</v>
      </c>
      <c r="AL1113" s="35" t="s">
        <v>188</v>
      </c>
      <c r="AM1113" s="35" t="s">
        <v>188</v>
      </c>
      <c r="AN1113" s="35" t="s">
        <v>212</v>
      </c>
      <c r="AO1113" s="35" t="s">
        <v>872</v>
      </c>
      <c r="AP1113" s="35" t="s">
        <v>872</v>
      </c>
      <c r="AQ1113" s="35" t="s">
        <v>212</v>
      </c>
      <c r="AR1113" s="35" t="s">
        <v>147</v>
      </c>
      <c r="AS1113" s="35">
        <v>3</v>
      </c>
      <c r="AT1113" s="35">
        <v>3</v>
      </c>
      <c r="AU1113" s="35" t="s">
        <v>379</v>
      </c>
      <c r="AW1113" s="35">
        <v>5160</v>
      </c>
      <c r="AX1113" s="35">
        <v>10</v>
      </c>
      <c r="BD1113" s="35">
        <v>814</v>
      </c>
      <c r="BE1113" s="35">
        <v>640</v>
      </c>
      <c r="EP1113" s="35">
        <v>11</v>
      </c>
      <c r="EQ1113" s="35">
        <v>12</v>
      </c>
      <c r="ER1113" s="35" t="s">
        <v>1886</v>
      </c>
      <c r="FR1113" s="35" t="s">
        <v>877</v>
      </c>
      <c r="FT1113" s="35">
        <v>53</v>
      </c>
    </row>
    <row r="1114" spans="1:176" s="35" customFormat="1" x14ac:dyDescent="0.25">
      <c r="A1114" s="35">
        <v>53</v>
      </c>
      <c r="B1114" s="35" t="s">
        <v>866</v>
      </c>
      <c r="C1114" s="35" t="s">
        <v>867</v>
      </c>
      <c r="D1114" s="35">
        <v>2006</v>
      </c>
      <c r="E1114" s="35">
        <v>2002</v>
      </c>
      <c r="F1114" s="35" t="s">
        <v>868</v>
      </c>
      <c r="G1114" s="35" t="s">
        <v>869</v>
      </c>
      <c r="H1114" s="35">
        <v>33.950000000000003</v>
      </c>
      <c r="I1114" s="35">
        <v>-83.38</v>
      </c>
      <c r="J1114" s="35">
        <v>208.4</v>
      </c>
      <c r="M1114" s="35">
        <v>971</v>
      </c>
      <c r="N1114" s="35">
        <f t="shared" si="228"/>
        <v>1233</v>
      </c>
      <c r="P1114" s="54">
        <v>3</v>
      </c>
      <c r="Q1114" s="54"/>
      <c r="R1114" s="54"/>
      <c r="S1114" s="54" t="s">
        <v>1565</v>
      </c>
      <c r="T1114" s="54" t="s">
        <v>1565</v>
      </c>
      <c r="U1114" s="54" t="s">
        <v>1565</v>
      </c>
      <c r="V1114" s="54" t="s">
        <v>1908</v>
      </c>
      <c r="X1114" s="35">
        <f t="shared" si="226"/>
        <v>65</v>
      </c>
      <c r="Y1114" s="35">
        <f>25</f>
        <v>25</v>
      </c>
      <c r="Z1114" s="35" t="s">
        <v>278</v>
      </c>
      <c r="AA1114" s="35">
        <v>6.6</v>
      </c>
      <c r="AB1114" s="35">
        <v>0.88</v>
      </c>
      <c r="AD1114" s="35" t="s">
        <v>1507</v>
      </c>
      <c r="AE1114" s="35" t="s">
        <v>1698</v>
      </c>
      <c r="AF1114" s="152" t="s">
        <v>1762</v>
      </c>
      <c r="AG1114" s="35" t="s">
        <v>673</v>
      </c>
      <c r="AH1114" s="154" t="s">
        <v>1808</v>
      </c>
      <c r="AI1114" s="35" t="s">
        <v>876</v>
      </c>
      <c r="AJ1114" s="35" t="s">
        <v>876</v>
      </c>
      <c r="AK1114" s="35" t="s">
        <v>212</v>
      </c>
      <c r="AL1114" s="35" t="s">
        <v>870</v>
      </c>
      <c r="AM1114" s="35" t="s">
        <v>870</v>
      </c>
      <c r="AN1114" s="35" t="s">
        <v>212</v>
      </c>
      <c r="AO1114" s="35" t="s">
        <v>872</v>
      </c>
      <c r="AP1114" s="35" t="s">
        <v>872</v>
      </c>
      <c r="AQ1114" s="35" t="s">
        <v>212</v>
      </c>
      <c r="AR1114" s="35" t="s">
        <v>147</v>
      </c>
      <c r="AS1114" s="35">
        <v>3</v>
      </c>
      <c r="AT1114" s="35">
        <v>3</v>
      </c>
      <c r="AU1114" s="35" t="s">
        <v>379</v>
      </c>
      <c r="AW1114" s="35">
        <v>5160</v>
      </c>
      <c r="AX1114" s="35">
        <v>10</v>
      </c>
      <c r="BD1114" s="35">
        <v>480</v>
      </c>
      <c r="BE1114" s="35">
        <v>774</v>
      </c>
      <c r="EP1114" s="35">
        <v>8</v>
      </c>
      <c r="EQ1114" s="35">
        <v>13</v>
      </c>
      <c r="ER1114" s="35" t="s">
        <v>1886</v>
      </c>
      <c r="FR1114" s="35" t="s">
        <v>877</v>
      </c>
      <c r="FT1114" s="35">
        <v>53</v>
      </c>
    </row>
    <row r="1115" spans="1:176" s="35" customFormat="1" x14ac:dyDescent="0.25">
      <c r="A1115" s="35">
        <v>53</v>
      </c>
      <c r="B1115" s="35" t="s">
        <v>866</v>
      </c>
      <c r="C1115" s="35" t="s">
        <v>867</v>
      </c>
      <c r="D1115" s="35">
        <v>2006</v>
      </c>
      <c r="E1115" s="35">
        <v>2002</v>
      </c>
      <c r="F1115" s="35" t="s">
        <v>868</v>
      </c>
      <c r="G1115" s="35" t="s">
        <v>869</v>
      </c>
      <c r="H1115" s="35">
        <v>33.950000000000003</v>
      </c>
      <c r="I1115" s="35">
        <v>-83.38</v>
      </c>
      <c r="J1115" s="35">
        <v>208.4</v>
      </c>
      <c r="M1115" s="35">
        <v>971</v>
      </c>
      <c r="N1115" s="35">
        <f t="shared" si="228"/>
        <v>1233</v>
      </c>
      <c r="P1115" s="54">
        <v>3</v>
      </c>
      <c r="Q1115" s="54"/>
      <c r="R1115" s="54"/>
      <c r="S1115" s="54" t="s">
        <v>1565</v>
      </c>
      <c r="T1115" s="54" t="s">
        <v>1565</v>
      </c>
      <c r="U1115" s="54" t="s">
        <v>1565</v>
      </c>
      <c r="V1115" s="54" t="s">
        <v>1908</v>
      </c>
      <c r="X1115" s="35">
        <f t="shared" si="226"/>
        <v>65</v>
      </c>
      <c r="Y1115" s="35">
        <f>25</f>
        <v>25</v>
      </c>
      <c r="Z1115" s="35" t="s">
        <v>278</v>
      </c>
      <c r="AA1115" s="35">
        <v>6.6</v>
      </c>
      <c r="AB1115" s="35">
        <v>0.88</v>
      </c>
      <c r="AD1115" s="35" t="s">
        <v>1507</v>
      </c>
      <c r="AE1115" s="35" t="s">
        <v>1698</v>
      </c>
      <c r="AF1115" s="152" t="s">
        <v>1762</v>
      </c>
      <c r="AG1115" s="35" t="s">
        <v>673</v>
      </c>
      <c r="AH1115" s="154" t="s">
        <v>1808</v>
      </c>
      <c r="AI1115" s="35" t="s">
        <v>876</v>
      </c>
      <c r="AJ1115" s="35" t="s">
        <v>876</v>
      </c>
      <c r="AK1115" s="35" t="s">
        <v>212</v>
      </c>
      <c r="AL1115" s="35" t="s">
        <v>871</v>
      </c>
      <c r="AM1115" s="35" t="s">
        <v>871</v>
      </c>
      <c r="AN1115" s="35" t="s">
        <v>212</v>
      </c>
      <c r="AO1115" s="35" t="s">
        <v>872</v>
      </c>
      <c r="AP1115" s="35" t="s">
        <v>872</v>
      </c>
      <c r="AQ1115" s="35" t="s">
        <v>212</v>
      </c>
      <c r="AR1115" s="35" t="s">
        <v>147</v>
      </c>
      <c r="AS1115" s="35">
        <v>3</v>
      </c>
      <c r="AT1115" s="35">
        <v>3</v>
      </c>
      <c r="AU1115" s="35" t="s">
        <v>379</v>
      </c>
      <c r="AW1115" s="35">
        <v>5160</v>
      </c>
      <c r="AX1115" s="35">
        <v>10</v>
      </c>
      <c r="BD1115" s="35">
        <v>802</v>
      </c>
      <c r="BE1115" s="35">
        <v>1525</v>
      </c>
      <c r="EP1115" s="35">
        <v>14</v>
      </c>
      <c r="EQ1115" s="35">
        <v>22</v>
      </c>
      <c r="ER1115" s="35" t="s">
        <v>1886</v>
      </c>
      <c r="FR1115" s="35" t="s">
        <v>877</v>
      </c>
      <c r="FT1115" s="35">
        <v>53</v>
      </c>
    </row>
    <row r="1116" spans="1:176" s="35" customFormat="1" x14ac:dyDescent="0.25">
      <c r="A1116" s="35">
        <v>53</v>
      </c>
      <c r="B1116" s="35" t="s">
        <v>866</v>
      </c>
      <c r="C1116" s="35" t="s">
        <v>867</v>
      </c>
      <c r="D1116" s="35">
        <v>2006</v>
      </c>
      <c r="E1116" s="35">
        <v>2002</v>
      </c>
      <c r="F1116" s="35" t="s">
        <v>868</v>
      </c>
      <c r="G1116" s="35" t="s">
        <v>869</v>
      </c>
      <c r="H1116" s="35">
        <v>33.950000000000003</v>
      </c>
      <c r="I1116" s="35">
        <v>-83.38</v>
      </c>
      <c r="J1116" s="35">
        <v>208.4</v>
      </c>
      <c r="M1116" s="35">
        <v>971</v>
      </c>
      <c r="N1116" s="35">
        <f t="shared" si="228"/>
        <v>1233</v>
      </c>
      <c r="P1116" s="54">
        <v>3</v>
      </c>
      <c r="Q1116" s="54"/>
      <c r="R1116" s="54"/>
      <c r="S1116" s="54" t="s">
        <v>1565</v>
      </c>
      <c r="T1116" s="54" t="s">
        <v>1565</v>
      </c>
      <c r="U1116" s="54" t="s">
        <v>1565</v>
      </c>
      <c r="V1116" s="54" t="s">
        <v>1908</v>
      </c>
      <c r="X1116" s="35">
        <f t="shared" si="226"/>
        <v>65</v>
      </c>
      <c r="Y1116" s="35">
        <f>25</f>
        <v>25</v>
      </c>
      <c r="Z1116" s="35" t="s">
        <v>278</v>
      </c>
      <c r="AA1116" s="35">
        <v>6.6</v>
      </c>
      <c r="AB1116" s="35">
        <v>0.88</v>
      </c>
      <c r="AD1116" s="35" t="s">
        <v>1507</v>
      </c>
      <c r="AE1116" s="35" t="s">
        <v>1698</v>
      </c>
      <c r="AF1116" s="152" t="s">
        <v>1762</v>
      </c>
      <c r="AG1116" s="35" t="s">
        <v>673</v>
      </c>
      <c r="AH1116" s="154" t="s">
        <v>1808</v>
      </c>
      <c r="AI1116" s="35" t="s">
        <v>876</v>
      </c>
      <c r="AJ1116" s="35" t="s">
        <v>876</v>
      </c>
      <c r="AK1116" s="35" t="s">
        <v>212</v>
      </c>
      <c r="AL1116" s="35" t="s">
        <v>188</v>
      </c>
      <c r="AM1116" s="35" t="s">
        <v>188</v>
      </c>
      <c r="AN1116" s="35" t="s">
        <v>212</v>
      </c>
      <c r="AO1116" s="35" t="s">
        <v>873</v>
      </c>
      <c r="AP1116" s="35" t="s">
        <v>873</v>
      </c>
      <c r="AQ1116" s="35" t="s">
        <v>212</v>
      </c>
      <c r="AR1116" s="35" t="s">
        <v>147</v>
      </c>
      <c r="AS1116" s="35">
        <v>3</v>
      </c>
      <c r="AT1116" s="35">
        <v>3</v>
      </c>
      <c r="AU1116" s="35" t="s">
        <v>379</v>
      </c>
      <c r="AW1116" s="35">
        <v>5720</v>
      </c>
      <c r="AX1116" s="35">
        <v>11</v>
      </c>
      <c r="BD1116" s="35">
        <v>814</v>
      </c>
      <c r="BE1116" s="35">
        <v>509</v>
      </c>
      <c r="EP1116" s="35">
        <v>11</v>
      </c>
      <c r="EQ1116" s="35">
        <v>12</v>
      </c>
      <c r="ER1116" s="35" t="s">
        <v>1886</v>
      </c>
      <c r="FR1116" s="35" t="s">
        <v>877</v>
      </c>
      <c r="FT1116" s="35">
        <v>53</v>
      </c>
    </row>
    <row r="1117" spans="1:176" s="35" customFormat="1" x14ac:dyDescent="0.25">
      <c r="A1117" s="35">
        <v>53</v>
      </c>
      <c r="B1117" s="35" t="s">
        <v>866</v>
      </c>
      <c r="C1117" s="35" t="s">
        <v>867</v>
      </c>
      <c r="D1117" s="35">
        <v>2006</v>
      </c>
      <c r="E1117" s="35">
        <v>2002</v>
      </c>
      <c r="F1117" s="35" t="s">
        <v>868</v>
      </c>
      <c r="G1117" s="35" t="s">
        <v>869</v>
      </c>
      <c r="H1117" s="35">
        <v>33.950000000000003</v>
      </c>
      <c r="I1117" s="35">
        <v>-83.38</v>
      </c>
      <c r="J1117" s="35">
        <v>208.4</v>
      </c>
      <c r="M1117" s="35">
        <v>971</v>
      </c>
      <c r="N1117" s="35">
        <f t="shared" si="228"/>
        <v>1233</v>
      </c>
      <c r="P1117" s="54">
        <v>3</v>
      </c>
      <c r="Q1117" s="54"/>
      <c r="R1117" s="54"/>
      <c r="S1117" s="54" t="s">
        <v>1565</v>
      </c>
      <c r="T1117" s="54" t="s">
        <v>1565</v>
      </c>
      <c r="U1117" s="54" t="s">
        <v>1565</v>
      </c>
      <c r="V1117" s="54" t="s">
        <v>1908</v>
      </c>
      <c r="X1117" s="35">
        <f t="shared" si="226"/>
        <v>65</v>
      </c>
      <c r="Y1117" s="35">
        <f>25</f>
        <v>25</v>
      </c>
      <c r="Z1117" s="35" t="s">
        <v>278</v>
      </c>
      <c r="AA1117" s="35">
        <v>6.6</v>
      </c>
      <c r="AB1117" s="35">
        <v>0.88</v>
      </c>
      <c r="AD1117" s="35" t="s">
        <v>1507</v>
      </c>
      <c r="AE1117" s="35" t="s">
        <v>1698</v>
      </c>
      <c r="AF1117" s="152" t="s">
        <v>1762</v>
      </c>
      <c r="AG1117" s="35" t="s">
        <v>673</v>
      </c>
      <c r="AH1117" s="154" t="s">
        <v>1808</v>
      </c>
      <c r="AI1117" s="35" t="s">
        <v>876</v>
      </c>
      <c r="AJ1117" s="35" t="s">
        <v>876</v>
      </c>
      <c r="AK1117" s="35" t="s">
        <v>212</v>
      </c>
      <c r="AL1117" s="35" t="s">
        <v>870</v>
      </c>
      <c r="AM1117" s="35" t="s">
        <v>870</v>
      </c>
      <c r="AN1117" s="35" t="s">
        <v>212</v>
      </c>
      <c r="AO1117" s="35" t="s">
        <v>873</v>
      </c>
      <c r="AP1117" s="35" t="s">
        <v>873</v>
      </c>
      <c r="AQ1117" s="35" t="s">
        <v>212</v>
      </c>
      <c r="AR1117" s="35" t="s">
        <v>147</v>
      </c>
      <c r="AS1117" s="35">
        <v>3</v>
      </c>
      <c r="AT1117" s="35">
        <v>3</v>
      </c>
      <c r="AU1117" s="35" t="s">
        <v>379</v>
      </c>
      <c r="AW1117" s="35">
        <v>5720</v>
      </c>
      <c r="AX1117" s="35">
        <v>11</v>
      </c>
      <c r="BD1117" s="35">
        <v>480</v>
      </c>
      <c r="BE1117" s="35">
        <v>464</v>
      </c>
      <c r="EP1117" s="35">
        <v>8</v>
      </c>
      <c r="EQ1117" s="35">
        <v>10</v>
      </c>
      <c r="ER1117" s="35" t="s">
        <v>1886</v>
      </c>
      <c r="FR1117" s="35" t="s">
        <v>877</v>
      </c>
      <c r="FT1117" s="35">
        <v>53</v>
      </c>
    </row>
    <row r="1118" spans="1:176" s="35" customFormat="1" x14ac:dyDescent="0.25">
      <c r="A1118" s="35">
        <v>53</v>
      </c>
      <c r="B1118" s="35" t="s">
        <v>866</v>
      </c>
      <c r="C1118" s="35" t="s">
        <v>867</v>
      </c>
      <c r="D1118" s="35">
        <v>2006</v>
      </c>
      <c r="E1118" s="35">
        <v>2002</v>
      </c>
      <c r="F1118" s="35" t="s">
        <v>868</v>
      </c>
      <c r="G1118" s="35" t="s">
        <v>869</v>
      </c>
      <c r="H1118" s="35">
        <v>33.950000000000003</v>
      </c>
      <c r="I1118" s="35">
        <v>-83.38</v>
      </c>
      <c r="J1118" s="35">
        <v>208.4</v>
      </c>
      <c r="M1118" s="35">
        <v>971</v>
      </c>
      <c r="N1118" s="35">
        <f t="shared" si="228"/>
        <v>1233</v>
      </c>
      <c r="P1118" s="54">
        <v>3</v>
      </c>
      <c r="Q1118" s="54"/>
      <c r="R1118" s="54"/>
      <c r="S1118" s="54" t="s">
        <v>1565</v>
      </c>
      <c r="T1118" s="54" t="s">
        <v>1565</v>
      </c>
      <c r="U1118" s="54" t="s">
        <v>1565</v>
      </c>
      <c r="V1118" s="54" t="s">
        <v>1908</v>
      </c>
      <c r="X1118" s="35">
        <f t="shared" ref="X1118:X1154" si="233">650/1000*100</f>
        <v>65</v>
      </c>
      <c r="Y1118" s="35">
        <f>25</f>
        <v>25</v>
      </c>
      <c r="Z1118" s="35" t="s">
        <v>278</v>
      </c>
      <c r="AA1118" s="35">
        <v>6.6</v>
      </c>
      <c r="AB1118" s="35">
        <v>0.88</v>
      </c>
      <c r="AD1118" s="35" t="s">
        <v>1507</v>
      </c>
      <c r="AE1118" s="35" t="s">
        <v>1698</v>
      </c>
      <c r="AF1118" s="152" t="s">
        <v>1762</v>
      </c>
      <c r="AG1118" s="35" t="s">
        <v>673</v>
      </c>
      <c r="AH1118" s="154" t="s">
        <v>1808</v>
      </c>
      <c r="AI1118" s="35" t="s">
        <v>876</v>
      </c>
      <c r="AJ1118" s="35" t="s">
        <v>876</v>
      </c>
      <c r="AK1118" s="35" t="s">
        <v>212</v>
      </c>
      <c r="AL1118" s="35" t="s">
        <v>871</v>
      </c>
      <c r="AM1118" s="35" t="s">
        <v>871</v>
      </c>
      <c r="AN1118" s="35" t="s">
        <v>212</v>
      </c>
      <c r="AO1118" s="35" t="s">
        <v>873</v>
      </c>
      <c r="AP1118" s="35" t="s">
        <v>873</v>
      </c>
      <c r="AQ1118" s="35" t="s">
        <v>212</v>
      </c>
      <c r="AR1118" s="35" t="s">
        <v>147</v>
      </c>
      <c r="AS1118" s="35">
        <v>3</v>
      </c>
      <c r="AT1118" s="35">
        <v>3</v>
      </c>
      <c r="AU1118" s="35" t="s">
        <v>379</v>
      </c>
      <c r="AW1118" s="35">
        <v>5720</v>
      </c>
      <c r="AX1118" s="35">
        <v>11</v>
      </c>
      <c r="BD1118" s="35">
        <v>802</v>
      </c>
      <c r="BE1118" s="35">
        <v>787</v>
      </c>
      <c r="EP1118" s="35">
        <v>14</v>
      </c>
      <c r="EQ1118" s="35">
        <v>12</v>
      </c>
      <c r="ER1118" s="35" t="s">
        <v>1886</v>
      </c>
      <c r="FR1118" s="35" t="s">
        <v>877</v>
      </c>
      <c r="FT1118" s="35">
        <v>53</v>
      </c>
    </row>
    <row r="1119" spans="1:176" s="26" customFormat="1" x14ac:dyDescent="0.25">
      <c r="A1119" s="26">
        <v>53</v>
      </c>
      <c r="B1119" s="26" t="s">
        <v>866</v>
      </c>
      <c r="C1119" s="26" t="s">
        <v>867</v>
      </c>
      <c r="D1119" s="26">
        <v>2006</v>
      </c>
      <c r="E1119" s="26">
        <v>2000</v>
      </c>
      <c r="F1119" s="26" t="s">
        <v>868</v>
      </c>
      <c r="G1119" s="26" t="s">
        <v>869</v>
      </c>
      <c r="H1119" s="26">
        <v>33.950000000000003</v>
      </c>
      <c r="I1119" s="26">
        <v>-83.38</v>
      </c>
      <c r="J1119" s="26">
        <v>208.4</v>
      </c>
      <c r="M1119" s="26">
        <f>278+505</f>
        <v>783</v>
      </c>
      <c r="N1119" s="26">
        <f>588+645</f>
        <v>1233</v>
      </c>
      <c r="P1119" s="52">
        <v>1</v>
      </c>
      <c r="Q1119" s="52"/>
      <c r="R1119" s="52" t="s">
        <v>878</v>
      </c>
      <c r="S1119" s="52" t="s">
        <v>1564</v>
      </c>
      <c r="T1119" s="52" t="s">
        <v>1564</v>
      </c>
      <c r="U1119" s="52" t="s">
        <v>1565</v>
      </c>
      <c r="V1119" s="52" t="s">
        <v>1908</v>
      </c>
      <c r="X1119" s="26">
        <f t="shared" si="233"/>
        <v>65</v>
      </c>
      <c r="Y1119" s="26">
        <f>25</f>
        <v>25</v>
      </c>
      <c r="Z1119" s="26" t="s">
        <v>278</v>
      </c>
      <c r="AA1119" s="26">
        <v>6.6</v>
      </c>
      <c r="AB1119" s="26">
        <v>0.88</v>
      </c>
      <c r="AD1119" s="26" t="s">
        <v>1507</v>
      </c>
      <c r="AE1119" s="26" t="s">
        <v>159</v>
      </c>
      <c r="AF1119" s="152" t="s">
        <v>159</v>
      </c>
      <c r="AG1119" s="26" t="s">
        <v>673</v>
      </c>
      <c r="AH1119" s="154" t="s">
        <v>1808</v>
      </c>
      <c r="AI1119" s="26" t="s">
        <v>876</v>
      </c>
      <c r="AJ1119" s="26" t="s">
        <v>876</v>
      </c>
      <c r="AK1119" s="26" t="s">
        <v>212</v>
      </c>
      <c r="AR1119" s="26" t="s">
        <v>147</v>
      </c>
      <c r="AS1119" s="26">
        <v>3</v>
      </c>
      <c r="AT1119" s="26">
        <v>3</v>
      </c>
      <c r="AU1119" s="26" t="s">
        <v>379</v>
      </c>
      <c r="AW1119" s="26">
        <f>6.07*1000</f>
        <v>6070</v>
      </c>
      <c r="AX1119" s="26">
        <v>29</v>
      </c>
      <c r="BM1119" s="26">
        <v>5.4824000000000002</v>
      </c>
      <c r="BN1119" s="26">
        <v>4.6144000000000007</v>
      </c>
      <c r="BO1119" s="26" t="s">
        <v>546</v>
      </c>
      <c r="FR1119" s="26" t="s">
        <v>877</v>
      </c>
      <c r="FT1119" s="26">
        <v>53</v>
      </c>
    </row>
    <row r="1120" spans="1:176" s="26" customFormat="1" x14ac:dyDescent="0.25">
      <c r="A1120" s="26">
        <v>53</v>
      </c>
      <c r="B1120" s="26" t="s">
        <v>866</v>
      </c>
      <c r="C1120" s="26" t="s">
        <v>867</v>
      </c>
      <c r="D1120" s="26">
        <v>2006</v>
      </c>
      <c r="E1120" s="26">
        <v>2000</v>
      </c>
      <c r="F1120" s="26" t="s">
        <v>868</v>
      </c>
      <c r="G1120" s="26" t="s">
        <v>869</v>
      </c>
      <c r="H1120" s="26">
        <v>33.950000000000003</v>
      </c>
      <c r="I1120" s="26">
        <v>-83.38</v>
      </c>
      <c r="J1120" s="26">
        <v>208.4</v>
      </c>
      <c r="M1120" s="26">
        <f t="shared" ref="M1120:M1142" si="234">278+505</f>
        <v>783</v>
      </c>
      <c r="N1120" s="26">
        <f t="shared" si="228"/>
        <v>1233</v>
      </c>
      <c r="P1120" s="52">
        <v>1</v>
      </c>
      <c r="Q1120" s="52"/>
      <c r="R1120" s="52" t="s">
        <v>878</v>
      </c>
      <c r="S1120" s="52" t="s">
        <v>1564</v>
      </c>
      <c r="T1120" s="52" t="s">
        <v>1564</v>
      </c>
      <c r="U1120" s="52" t="s">
        <v>1565</v>
      </c>
      <c r="V1120" s="52" t="s">
        <v>1908</v>
      </c>
      <c r="X1120" s="26">
        <f t="shared" si="233"/>
        <v>65</v>
      </c>
      <c r="Y1120" s="26">
        <f>25</f>
        <v>25</v>
      </c>
      <c r="Z1120" s="26" t="s">
        <v>278</v>
      </c>
      <c r="AA1120" s="26">
        <v>6.6</v>
      </c>
      <c r="AB1120" s="26">
        <v>0.88</v>
      </c>
      <c r="AD1120" s="26" t="s">
        <v>1507</v>
      </c>
      <c r="AE1120" s="26" t="s">
        <v>281</v>
      </c>
      <c r="AF1120" s="152" t="s">
        <v>666</v>
      </c>
      <c r="AG1120" s="26" t="s">
        <v>673</v>
      </c>
      <c r="AH1120" s="154" t="s">
        <v>1808</v>
      </c>
      <c r="AI1120" s="26" t="s">
        <v>876</v>
      </c>
      <c r="AJ1120" s="26" t="s">
        <v>876</v>
      </c>
      <c r="AK1120" s="26" t="s">
        <v>212</v>
      </c>
      <c r="AR1120" s="26" t="s">
        <v>147</v>
      </c>
      <c r="AS1120" s="26">
        <v>3</v>
      </c>
      <c r="AT1120" s="26">
        <v>3</v>
      </c>
      <c r="AU1120" s="26" t="s">
        <v>379</v>
      </c>
      <c r="AW1120" s="26">
        <v>5100</v>
      </c>
      <c r="AX1120" s="26">
        <v>12</v>
      </c>
      <c r="BM1120" s="26">
        <v>5.4824000000000002</v>
      </c>
      <c r="BN1120" s="26">
        <v>7.0364000000000004</v>
      </c>
      <c r="BO1120" s="26" t="s">
        <v>546</v>
      </c>
      <c r="FR1120" s="26" t="s">
        <v>877</v>
      </c>
      <c r="FT1120" s="26">
        <v>53</v>
      </c>
    </row>
    <row r="1121" spans="1:176" s="26" customFormat="1" x14ac:dyDescent="0.25">
      <c r="A1121" s="26">
        <v>53</v>
      </c>
      <c r="B1121" s="26" t="s">
        <v>866</v>
      </c>
      <c r="C1121" s="26" t="s">
        <v>867</v>
      </c>
      <c r="D1121" s="26">
        <v>2006</v>
      </c>
      <c r="E1121" s="26">
        <v>2000</v>
      </c>
      <c r="F1121" s="26" t="s">
        <v>868</v>
      </c>
      <c r="G1121" s="26" t="s">
        <v>869</v>
      </c>
      <c r="H1121" s="26">
        <v>33.950000000000003</v>
      </c>
      <c r="I1121" s="26">
        <v>-83.38</v>
      </c>
      <c r="J1121" s="26">
        <v>208.4</v>
      </c>
      <c r="M1121" s="26">
        <f t="shared" si="234"/>
        <v>783</v>
      </c>
      <c r="N1121" s="26">
        <f t="shared" si="228"/>
        <v>1233</v>
      </c>
      <c r="P1121" s="52">
        <v>1</v>
      </c>
      <c r="Q1121" s="52"/>
      <c r="R1121" s="52" t="s">
        <v>878</v>
      </c>
      <c r="S1121" s="52" t="s">
        <v>1564</v>
      </c>
      <c r="T1121" s="52" t="s">
        <v>1564</v>
      </c>
      <c r="U1121" s="52" t="s">
        <v>1565</v>
      </c>
      <c r="V1121" s="52" t="s">
        <v>1908</v>
      </c>
      <c r="X1121" s="26">
        <f t="shared" si="233"/>
        <v>65</v>
      </c>
      <c r="Y1121" s="26">
        <f>25</f>
        <v>25</v>
      </c>
      <c r="Z1121" s="26" t="s">
        <v>278</v>
      </c>
      <c r="AA1121" s="26">
        <v>6.6</v>
      </c>
      <c r="AB1121" s="26">
        <v>0.88</v>
      </c>
      <c r="AD1121" s="26" t="s">
        <v>1507</v>
      </c>
      <c r="AE1121" s="26" t="s">
        <v>1698</v>
      </c>
      <c r="AF1121" s="152" t="s">
        <v>1762</v>
      </c>
      <c r="AG1121" s="26" t="s">
        <v>673</v>
      </c>
      <c r="AH1121" s="154" t="s">
        <v>1808</v>
      </c>
      <c r="AI1121" s="26" t="s">
        <v>876</v>
      </c>
      <c r="AJ1121" s="26" t="s">
        <v>876</v>
      </c>
      <c r="AK1121" s="26" t="s">
        <v>212</v>
      </c>
      <c r="AR1121" s="26" t="s">
        <v>147</v>
      </c>
      <c r="AS1121" s="26">
        <v>3</v>
      </c>
      <c r="AT1121" s="26">
        <v>3</v>
      </c>
      <c r="AU1121" s="26" t="s">
        <v>379</v>
      </c>
      <c r="AW1121" s="26">
        <v>8180</v>
      </c>
      <c r="AX1121" s="26">
        <v>10</v>
      </c>
      <c r="BM1121" s="26">
        <v>5.4824000000000002</v>
      </c>
      <c r="BN1121" s="26">
        <v>5.4824000000000002</v>
      </c>
      <c r="BO1121" s="26" t="s">
        <v>546</v>
      </c>
      <c r="FR1121" s="26" t="s">
        <v>877</v>
      </c>
      <c r="FT1121" s="26">
        <v>53</v>
      </c>
    </row>
    <row r="1122" spans="1:176" s="85" customFormat="1" x14ac:dyDescent="0.25">
      <c r="A1122" s="85">
        <v>53</v>
      </c>
      <c r="B1122" s="85" t="s">
        <v>866</v>
      </c>
      <c r="C1122" s="85" t="s">
        <v>867</v>
      </c>
      <c r="D1122" s="85">
        <v>2006</v>
      </c>
      <c r="E1122" s="85">
        <v>2000</v>
      </c>
      <c r="F1122" s="85" t="s">
        <v>868</v>
      </c>
      <c r="G1122" s="85" t="s">
        <v>869</v>
      </c>
      <c r="H1122" s="85">
        <v>33.950000000000003</v>
      </c>
      <c r="I1122" s="85">
        <v>-83.38</v>
      </c>
      <c r="J1122" s="85">
        <v>208.4</v>
      </c>
      <c r="M1122" s="26">
        <f t="shared" si="234"/>
        <v>783</v>
      </c>
      <c r="N1122" s="26">
        <f t="shared" si="228"/>
        <v>1233</v>
      </c>
      <c r="P1122" s="86">
        <v>1</v>
      </c>
      <c r="Q1122" s="86"/>
      <c r="R1122" s="86" t="s">
        <v>879</v>
      </c>
      <c r="S1122" s="86" t="s">
        <v>1564</v>
      </c>
      <c r="T1122" s="52" t="s">
        <v>1564</v>
      </c>
      <c r="U1122" s="86" t="s">
        <v>1565</v>
      </c>
      <c r="V1122" s="52" t="s">
        <v>1908</v>
      </c>
      <c r="X1122" s="85">
        <f t="shared" si="233"/>
        <v>65</v>
      </c>
      <c r="Y1122" s="85">
        <f>25</f>
        <v>25</v>
      </c>
      <c r="Z1122" s="85" t="s">
        <v>278</v>
      </c>
      <c r="AA1122" s="85">
        <v>6.6</v>
      </c>
      <c r="AB1122" s="85">
        <v>0.88</v>
      </c>
      <c r="AD1122" s="85" t="s">
        <v>1507</v>
      </c>
      <c r="AE1122" s="85" t="s">
        <v>159</v>
      </c>
      <c r="AF1122" s="152" t="s">
        <v>159</v>
      </c>
      <c r="AG1122" s="85" t="s">
        <v>673</v>
      </c>
      <c r="AH1122" s="154" t="s">
        <v>1808</v>
      </c>
      <c r="AI1122" s="26" t="s">
        <v>876</v>
      </c>
      <c r="AJ1122" s="26" t="s">
        <v>876</v>
      </c>
      <c r="AK1122" s="26" t="s">
        <v>212</v>
      </c>
      <c r="AR1122" s="85" t="s">
        <v>147</v>
      </c>
      <c r="AS1122" s="85">
        <v>3</v>
      </c>
      <c r="AT1122" s="85">
        <v>3</v>
      </c>
      <c r="AU1122" s="85" t="s">
        <v>379</v>
      </c>
      <c r="AW1122" s="85">
        <v>6070</v>
      </c>
      <c r="AX1122" s="85">
        <v>29</v>
      </c>
      <c r="BM1122" s="85">
        <v>5.9444000000000008</v>
      </c>
      <c r="BN1122" s="85">
        <v>5.4880000000000013</v>
      </c>
      <c r="BO1122" s="26" t="s">
        <v>546</v>
      </c>
      <c r="BQ1122" s="26"/>
      <c r="DC1122" s="26"/>
      <c r="DE1122" s="26"/>
      <c r="FR1122" s="26" t="s">
        <v>877</v>
      </c>
      <c r="FT1122" s="85">
        <v>53</v>
      </c>
    </row>
    <row r="1123" spans="1:176" s="85" customFormat="1" x14ac:dyDescent="0.25">
      <c r="A1123" s="85">
        <v>53</v>
      </c>
      <c r="B1123" s="85" t="s">
        <v>866</v>
      </c>
      <c r="C1123" s="85" t="s">
        <v>867</v>
      </c>
      <c r="D1123" s="85">
        <v>2006</v>
      </c>
      <c r="E1123" s="85">
        <v>2000</v>
      </c>
      <c r="F1123" s="85" t="s">
        <v>868</v>
      </c>
      <c r="G1123" s="85" t="s">
        <v>869</v>
      </c>
      <c r="H1123" s="85">
        <v>33.950000000000003</v>
      </c>
      <c r="I1123" s="85">
        <v>-83.38</v>
      </c>
      <c r="J1123" s="85">
        <v>208.4</v>
      </c>
      <c r="M1123" s="26">
        <f t="shared" si="234"/>
        <v>783</v>
      </c>
      <c r="N1123" s="26">
        <f t="shared" si="228"/>
        <v>1233</v>
      </c>
      <c r="P1123" s="86">
        <v>1</v>
      </c>
      <c r="Q1123" s="86"/>
      <c r="R1123" s="86" t="s">
        <v>879</v>
      </c>
      <c r="S1123" s="86" t="s">
        <v>1564</v>
      </c>
      <c r="T1123" s="52" t="s">
        <v>1564</v>
      </c>
      <c r="U1123" s="86" t="s">
        <v>1565</v>
      </c>
      <c r="V1123" s="52" t="s">
        <v>1908</v>
      </c>
      <c r="X1123" s="85">
        <f t="shared" si="233"/>
        <v>65</v>
      </c>
      <c r="Y1123" s="85">
        <f>25</f>
        <v>25</v>
      </c>
      <c r="Z1123" s="85" t="s">
        <v>278</v>
      </c>
      <c r="AA1123" s="85">
        <v>6.6</v>
      </c>
      <c r="AB1123" s="85">
        <v>0.88</v>
      </c>
      <c r="AD1123" s="85" t="s">
        <v>1507</v>
      </c>
      <c r="AE1123" s="85" t="s">
        <v>281</v>
      </c>
      <c r="AF1123" s="152" t="s">
        <v>666</v>
      </c>
      <c r="AG1123" s="85" t="s">
        <v>673</v>
      </c>
      <c r="AH1123" s="154" t="s">
        <v>1808</v>
      </c>
      <c r="AI1123" s="26" t="s">
        <v>876</v>
      </c>
      <c r="AJ1123" s="26" t="s">
        <v>876</v>
      </c>
      <c r="AK1123" s="26" t="s">
        <v>212</v>
      </c>
      <c r="AR1123" s="85" t="s">
        <v>147</v>
      </c>
      <c r="AS1123" s="85">
        <v>3</v>
      </c>
      <c r="AT1123" s="85">
        <v>3</v>
      </c>
      <c r="AU1123" s="85" t="s">
        <v>379</v>
      </c>
      <c r="AW1123" s="85">
        <v>5100</v>
      </c>
      <c r="AX1123" s="85">
        <v>12</v>
      </c>
      <c r="BM1123" s="85">
        <v>5.9444000000000008</v>
      </c>
      <c r="BN1123" s="85">
        <v>6.3560000000000008</v>
      </c>
      <c r="BO1123" s="26" t="s">
        <v>546</v>
      </c>
      <c r="BQ1123" s="26"/>
      <c r="DC1123" s="26"/>
      <c r="DE1123" s="26"/>
      <c r="FR1123" s="26" t="s">
        <v>877</v>
      </c>
      <c r="FT1123" s="85">
        <v>53</v>
      </c>
    </row>
    <row r="1124" spans="1:176" s="85" customFormat="1" x14ac:dyDescent="0.25">
      <c r="A1124" s="85">
        <v>53</v>
      </c>
      <c r="B1124" s="85" t="s">
        <v>866</v>
      </c>
      <c r="C1124" s="85" t="s">
        <v>867</v>
      </c>
      <c r="D1124" s="85">
        <v>2006</v>
      </c>
      <c r="E1124" s="85">
        <v>2000</v>
      </c>
      <c r="F1124" s="85" t="s">
        <v>868</v>
      </c>
      <c r="G1124" s="85" t="s">
        <v>869</v>
      </c>
      <c r="H1124" s="85">
        <v>33.950000000000003</v>
      </c>
      <c r="I1124" s="85">
        <v>-83.38</v>
      </c>
      <c r="J1124" s="85">
        <v>208.4</v>
      </c>
      <c r="M1124" s="26">
        <f t="shared" si="234"/>
        <v>783</v>
      </c>
      <c r="N1124" s="26">
        <f t="shared" si="228"/>
        <v>1233</v>
      </c>
      <c r="P1124" s="86">
        <v>1</v>
      </c>
      <c r="Q1124" s="86"/>
      <c r="R1124" s="86" t="s">
        <v>879</v>
      </c>
      <c r="S1124" s="86" t="s">
        <v>1564</v>
      </c>
      <c r="T1124" s="52" t="s">
        <v>1564</v>
      </c>
      <c r="U1124" s="86" t="s">
        <v>1565</v>
      </c>
      <c r="V1124" s="52" t="s">
        <v>1908</v>
      </c>
      <c r="X1124" s="85">
        <f t="shared" si="233"/>
        <v>65</v>
      </c>
      <c r="Y1124" s="85">
        <f>25</f>
        <v>25</v>
      </c>
      <c r="Z1124" s="85" t="s">
        <v>278</v>
      </c>
      <c r="AA1124" s="85">
        <v>6.6</v>
      </c>
      <c r="AB1124" s="85">
        <v>0.88</v>
      </c>
      <c r="AD1124" s="85" t="s">
        <v>1507</v>
      </c>
      <c r="AE1124" s="85" t="s">
        <v>1698</v>
      </c>
      <c r="AF1124" s="152" t="s">
        <v>1762</v>
      </c>
      <c r="AG1124" s="85" t="s">
        <v>673</v>
      </c>
      <c r="AH1124" s="154" t="s">
        <v>1808</v>
      </c>
      <c r="AI1124" s="26" t="s">
        <v>876</v>
      </c>
      <c r="AJ1124" s="26" t="s">
        <v>876</v>
      </c>
      <c r="AK1124" s="26" t="s">
        <v>212</v>
      </c>
      <c r="AR1124" s="85" t="s">
        <v>147</v>
      </c>
      <c r="AS1124" s="85">
        <v>3</v>
      </c>
      <c r="AT1124" s="85">
        <v>3</v>
      </c>
      <c r="AU1124" s="85" t="s">
        <v>379</v>
      </c>
      <c r="AW1124" s="85">
        <v>8180</v>
      </c>
      <c r="AX1124" s="85">
        <v>10</v>
      </c>
      <c r="BM1124" s="85">
        <v>5.9444000000000008</v>
      </c>
      <c r="BN1124" s="85">
        <v>5.9640000000000004</v>
      </c>
      <c r="BO1124" s="26" t="s">
        <v>546</v>
      </c>
      <c r="BQ1124" s="26"/>
      <c r="DC1124" s="26"/>
      <c r="DE1124" s="26"/>
      <c r="FR1124" s="26" t="s">
        <v>877</v>
      </c>
      <c r="FT1124" s="85">
        <v>53</v>
      </c>
    </row>
    <row r="1125" spans="1:176" s="26" customFormat="1" x14ac:dyDescent="0.25">
      <c r="A1125" s="26">
        <v>53</v>
      </c>
      <c r="B1125" s="26" t="s">
        <v>866</v>
      </c>
      <c r="C1125" s="26" t="s">
        <v>867</v>
      </c>
      <c r="D1125" s="26">
        <v>2006</v>
      </c>
      <c r="E1125" s="26">
        <v>2001</v>
      </c>
      <c r="F1125" s="26" t="s">
        <v>868</v>
      </c>
      <c r="G1125" s="26" t="s">
        <v>869</v>
      </c>
      <c r="H1125" s="26">
        <v>33.950000000000003</v>
      </c>
      <c r="I1125" s="26">
        <v>-83.38</v>
      </c>
      <c r="J1125" s="26">
        <v>208.4</v>
      </c>
      <c r="M1125" s="26">
        <v>748</v>
      </c>
      <c r="N1125" s="26">
        <f>588+645</f>
        <v>1233</v>
      </c>
      <c r="P1125" s="52">
        <v>2</v>
      </c>
      <c r="Q1125" s="52"/>
      <c r="R1125" s="52" t="s">
        <v>878</v>
      </c>
      <c r="S1125" s="52" t="s">
        <v>1564</v>
      </c>
      <c r="T1125" s="52" t="s">
        <v>1564</v>
      </c>
      <c r="U1125" s="52" t="s">
        <v>1565</v>
      </c>
      <c r="V1125" s="52" t="s">
        <v>1908</v>
      </c>
      <c r="X1125" s="26">
        <f t="shared" si="233"/>
        <v>65</v>
      </c>
      <c r="Y1125" s="26">
        <f>25</f>
        <v>25</v>
      </c>
      <c r="Z1125" s="26" t="s">
        <v>278</v>
      </c>
      <c r="AA1125" s="26">
        <v>6.6</v>
      </c>
      <c r="AB1125" s="26">
        <v>0.88</v>
      </c>
      <c r="AD1125" s="26" t="s">
        <v>1507</v>
      </c>
      <c r="AE1125" s="26" t="s">
        <v>159</v>
      </c>
      <c r="AF1125" s="152" t="s">
        <v>159</v>
      </c>
      <c r="AG1125" s="26" t="s">
        <v>673</v>
      </c>
      <c r="AH1125" s="154" t="s">
        <v>1808</v>
      </c>
      <c r="AI1125" s="26" t="s">
        <v>876</v>
      </c>
      <c r="AJ1125" s="26" t="s">
        <v>876</v>
      </c>
      <c r="AK1125" s="26" t="s">
        <v>212</v>
      </c>
      <c r="AR1125" s="26" t="s">
        <v>147</v>
      </c>
      <c r="AS1125" s="26">
        <v>3</v>
      </c>
      <c r="AT1125" s="26">
        <v>3</v>
      </c>
      <c r="AU1125" s="26" t="s">
        <v>379</v>
      </c>
      <c r="AW1125" s="26">
        <v>3810</v>
      </c>
      <c r="AX1125" s="26">
        <v>57</v>
      </c>
      <c r="BM1125" s="26">
        <v>3.6624000000000003</v>
      </c>
      <c r="BN1125" s="26">
        <v>3.6120000000000005</v>
      </c>
      <c r="BO1125" s="26" t="s">
        <v>546</v>
      </c>
      <c r="FR1125" s="26" t="s">
        <v>877</v>
      </c>
      <c r="FT1125" s="26">
        <v>53</v>
      </c>
    </row>
    <row r="1126" spans="1:176" s="26" customFormat="1" x14ac:dyDescent="0.25">
      <c r="A1126" s="26">
        <v>53</v>
      </c>
      <c r="B1126" s="26" t="s">
        <v>866</v>
      </c>
      <c r="C1126" s="26" t="s">
        <v>867</v>
      </c>
      <c r="D1126" s="26">
        <v>2006</v>
      </c>
      <c r="E1126" s="26">
        <v>2001</v>
      </c>
      <c r="F1126" s="26" t="s">
        <v>868</v>
      </c>
      <c r="G1126" s="26" t="s">
        <v>869</v>
      </c>
      <c r="H1126" s="26">
        <v>33.950000000000003</v>
      </c>
      <c r="I1126" s="26">
        <v>-83.38</v>
      </c>
      <c r="J1126" s="26">
        <v>208.4</v>
      </c>
      <c r="M1126" s="26">
        <v>748</v>
      </c>
      <c r="N1126" s="26">
        <f t="shared" si="228"/>
        <v>1233</v>
      </c>
      <c r="P1126" s="52">
        <v>2</v>
      </c>
      <c r="Q1126" s="52"/>
      <c r="R1126" s="52" t="s">
        <v>878</v>
      </c>
      <c r="S1126" s="52" t="s">
        <v>1564</v>
      </c>
      <c r="T1126" s="52" t="s">
        <v>1564</v>
      </c>
      <c r="U1126" s="52" t="s">
        <v>1565</v>
      </c>
      <c r="V1126" s="52" t="s">
        <v>1908</v>
      </c>
      <c r="X1126" s="26">
        <f t="shared" si="233"/>
        <v>65</v>
      </c>
      <c r="Y1126" s="26">
        <f>25</f>
        <v>25</v>
      </c>
      <c r="Z1126" s="26" t="s">
        <v>278</v>
      </c>
      <c r="AA1126" s="26">
        <v>6.6</v>
      </c>
      <c r="AB1126" s="26">
        <v>0.88</v>
      </c>
      <c r="AD1126" s="26" t="s">
        <v>1507</v>
      </c>
      <c r="AE1126" s="26" t="s">
        <v>281</v>
      </c>
      <c r="AF1126" s="152" t="s">
        <v>666</v>
      </c>
      <c r="AG1126" s="26" t="s">
        <v>673</v>
      </c>
      <c r="AH1126" s="154" t="s">
        <v>1808</v>
      </c>
      <c r="AI1126" s="26" t="s">
        <v>876</v>
      </c>
      <c r="AJ1126" s="26" t="s">
        <v>876</v>
      </c>
      <c r="AK1126" s="26" t="s">
        <v>212</v>
      </c>
      <c r="AR1126" s="26" t="s">
        <v>147</v>
      </c>
      <c r="AS1126" s="26">
        <v>3</v>
      </c>
      <c r="AT1126" s="26">
        <v>3</v>
      </c>
      <c r="AU1126" s="26" t="s">
        <v>379</v>
      </c>
      <c r="AW1126" s="26">
        <v>2440</v>
      </c>
      <c r="AX1126" s="26">
        <v>12</v>
      </c>
      <c r="BM1126" s="26">
        <v>3.6624000000000003</v>
      </c>
      <c r="BN1126" s="26">
        <v>4.2111999999999998</v>
      </c>
      <c r="BO1126" s="26" t="s">
        <v>546</v>
      </c>
      <c r="FR1126" s="26" t="s">
        <v>877</v>
      </c>
      <c r="FT1126" s="26">
        <v>53</v>
      </c>
    </row>
    <row r="1127" spans="1:176" s="26" customFormat="1" x14ac:dyDescent="0.25">
      <c r="A1127" s="26">
        <v>53</v>
      </c>
      <c r="B1127" s="26" t="s">
        <v>866</v>
      </c>
      <c r="C1127" s="26" t="s">
        <v>867</v>
      </c>
      <c r="D1127" s="26">
        <v>2006</v>
      </c>
      <c r="E1127" s="26">
        <v>2001</v>
      </c>
      <c r="F1127" s="26" t="s">
        <v>868</v>
      </c>
      <c r="G1127" s="26" t="s">
        <v>869</v>
      </c>
      <c r="H1127" s="26">
        <v>33.950000000000003</v>
      </c>
      <c r="I1127" s="26">
        <v>-83.38</v>
      </c>
      <c r="J1127" s="26">
        <v>208.4</v>
      </c>
      <c r="M1127" s="26">
        <v>748</v>
      </c>
      <c r="N1127" s="26">
        <f t="shared" si="228"/>
        <v>1233</v>
      </c>
      <c r="P1127" s="52">
        <v>2</v>
      </c>
      <c r="Q1127" s="52"/>
      <c r="R1127" s="52" t="s">
        <v>878</v>
      </c>
      <c r="S1127" s="52" t="s">
        <v>1564</v>
      </c>
      <c r="T1127" s="52" t="s">
        <v>1564</v>
      </c>
      <c r="U1127" s="52" t="s">
        <v>1565</v>
      </c>
      <c r="V1127" s="52" t="s">
        <v>1908</v>
      </c>
      <c r="X1127" s="26">
        <f t="shared" si="233"/>
        <v>65</v>
      </c>
      <c r="Y1127" s="26">
        <f>25</f>
        <v>25</v>
      </c>
      <c r="Z1127" s="26" t="s">
        <v>278</v>
      </c>
      <c r="AA1127" s="26">
        <v>6.6</v>
      </c>
      <c r="AB1127" s="26">
        <v>0.88</v>
      </c>
      <c r="AD1127" s="26" t="s">
        <v>1507</v>
      </c>
      <c r="AE1127" s="26" t="s">
        <v>1698</v>
      </c>
      <c r="AF1127" s="152" t="s">
        <v>1762</v>
      </c>
      <c r="AG1127" s="26" t="s">
        <v>673</v>
      </c>
      <c r="AH1127" s="154" t="s">
        <v>1808</v>
      </c>
      <c r="AI1127" s="26" t="s">
        <v>876</v>
      </c>
      <c r="AJ1127" s="26" t="s">
        <v>876</v>
      </c>
      <c r="AK1127" s="26" t="s">
        <v>212</v>
      </c>
      <c r="AR1127" s="26" t="s">
        <v>147</v>
      </c>
      <c r="AS1127" s="26">
        <v>3</v>
      </c>
      <c r="AT1127" s="26">
        <v>3</v>
      </c>
      <c r="AU1127" s="26" t="s">
        <v>379</v>
      </c>
      <c r="AW1127" s="26">
        <v>5980</v>
      </c>
      <c r="AX1127" s="26">
        <v>32</v>
      </c>
      <c r="BM1127" s="26">
        <v>3.6624000000000003</v>
      </c>
      <c r="BN1127" s="26">
        <v>3.6624000000000003</v>
      </c>
      <c r="BO1127" s="26" t="s">
        <v>546</v>
      </c>
      <c r="FR1127" s="26" t="s">
        <v>877</v>
      </c>
      <c r="FT1127" s="26">
        <v>53</v>
      </c>
    </row>
    <row r="1128" spans="1:176" s="85" customFormat="1" x14ac:dyDescent="0.25">
      <c r="A1128" s="85">
        <v>53</v>
      </c>
      <c r="B1128" s="85" t="s">
        <v>866</v>
      </c>
      <c r="C1128" s="85" t="s">
        <v>867</v>
      </c>
      <c r="D1128" s="85">
        <v>2006</v>
      </c>
      <c r="E1128" s="85">
        <v>2001</v>
      </c>
      <c r="F1128" s="85" t="s">
        <v>868</v>
      </c>
      <c r="G1128" s="85" t="s">
        <v>869</v>
      </c>
      <c r="H1128" s="85">
        <v>33.950000000000003</v>
      </c>
      <c r="I1128" s="85">
        <v>-83.38</v>
      </c>
      <c r="J1128" s="85">
        <v>208.4</v>
      </c>
      <c r="M1128" s="26">
        <v>748</v>
      </c>
      <c r="N1128" s="26">
        <f t="shared" si="228"/>
        <v>1233</v>
      </c>
      <c r="P1128" s="86">
        <v>2</v>
      </c>
      <c r="Q1128" s="86"/>
      <c r="R1128" s="86" t="s">
        <v>879</v>
      </c>
      <c r="S1128" s="86" t="s">
        <v>1564</v>
      </c>
      <c r="T1128" s="52" t="s">
        <v>1564</v>
      </c>
      <c r="U1128" s="86" t="s">
        <v>1565</v>
      </c>
      <c r="V1128" s="52" t="s">
        <v>1908</v>
      </c>
      <c r="X1128" s="85">
        <f t="shared" si="233"/>
        <v>65</v>
      </c>
      <c r="Y1128" s="85">
        <f>25</f>
        <v>25</v>
      </c>
      <c r="Z1128" s="85" t="s">
        <v>278</v>
      </c>
      <c r="AA1128" s="85">
        <v>6.6</v>
      </c>
      <c r="AB1128" s="85">
        <v>0.88</v>
      </c>
      <c r="AD1128" s="85" t="s">
        <v>1507</v>
      </c>
      <c r="AE1128" s="85" t="s">
        <v>159</v>
      </c>
      <c r="AF1128" s="152" t="s">
        <v>159</v>
      </c>
      <c r="AG1128" s="85" t="s">
        <v>673</v>
      </c>
      <c r="AH1128" s="154" t="s">
        <v>1808</v>
      </c>
      <c r="AI1128" s="26" t="s">
        <v>876</v>
      </c>
      <c r="AJ1128" s="26" t="s">
        <v>876</v>
      </c>
      <c r="AK1128" s="26" t="s">
        <v>212</v>
      </c>
      <c r="AR1128" s="85" t="s">
        <v>147</v>
      </c>
      <c r="AS1128" s="85">
        <v>3</v>
      </c>
      <c r="AT1128" s="85">
        <v>3</v>
      </c>
      <c r="AU1128" s="85" t="s">
        <v>379</v>
      </c>
      <c r="AW1128" s="85">
        <v>3810</v>
      </c>
      <c r="AX1128" s="85">
        <v>57</v>
      </c>
      <c r="BM1128" s="85">
        <v>5.7232000000000012</v>
      </c>
      <c r="BN1128" s="85">
        <v>4.6256000000000004</v>
      </c>
      <c r="BO1128" s="26" t="s">
        <v>546</v>
      </c>
      <c r="BQ1128" s="26"/>
      <c r="DC1128" s="26"/>
      <c r="DE1128" s="26"/>
      <c r="FR1128" s="26" t="s">
        <v>877</v>
      </c>
      <c r="FT1128" s="85">
        <v>53</v>
      </c>
    </row>
    <row r="1129" spans="1:176" s="85" customFormat="1" x14ac:dyDescent="0.25">
      <c r="A1129" s="85">
        <v>53</v>
      </c>
      <c r="B1129" s="85" t="s">
        <v>866</v>
      </c>
      <c r="C1129" s="85" t="s">
        <v>867</v>
      </c>
      <c r="D1129" s="85">
        <v>2006</v>
      </c>
      <c r="E1129" s="85">
        <v>2001</v>
      </c>
      <c r="F1129" s="85" t="s">
        <v>868</v>
      </c>
      <c r="G1129" s="85" t="s">
        <v>869</v>
      </c>
      <c r="H1129" s="85">
        <v>33.950000000000003</v>
      </c>
      <c r="I1129" s="85">
        <v>-83.38</v>
      </c>
      <c r="J1129" s="85">
        <v>208.4</v>
      </c>
      <c r="M1129" s="26">
        <v>748</v>
      </c>
      <c r="N1129" s="26">
        <f t="shared" si="228"/>
        <v>1233</v>
      </c>
      <c r="P1129" s="86">
        <v>2</v>
      </c>
      <c r="Q1129" s="86"/>
      <c r="R1129" s="86" t="s">
        <v>879</v>
      </c>
      <c r="S1129" s="86" t="s">
        <v>1564</v>
      </c>
      <c r="T1129" s="52" t="s">
        <v>1564</v>
      </c>
      <c r="U1129" s="86" t="s">
        <v>1565</v>
      </c>
      <c r="V1129" s="52" t="s">
        <v>1908</v>
      </c>
      <c r="X1129" s="85">
        <f t="shared" si="233"/>
        <v>65</v>
      </c>
      <c r="Y1129" s="85">
        <f>25</f>
        <v>25</v>
      </c>
      <c r="Z1129" s="85" t="s">
        <v>278</v>
      </c>
      <c r="AA1129" s="85">
        <v>6.6</v>
      </c>
      <c r="AB1129" s="85">
        <v>0.88</v>
      </c>
      <c r="AD1129" s="85" t="s">
        <v>1507</v>
      </c>
      <c r="AE1129" s="85" t="s">
        <v>281</v>
      </c>
      <c r="AF1129" s="152" t="s">
        <v>666</v>
      </c>
      <c r="AG1129" s="85" t="s">
        <v>673</v>
      </c>
      <c r="AH1129" s="154" t="s">
        <v>1808</v>
      </c>
      <c r="AI1129" s="26" t="s">
        <v>876</v>
      </c>
      <c r="AJ1129" s="26" t="s">
        <v>876</v>
      </c>
      <c r="AK1129" s="26" t="s">
        <v>212</v>
      </c>
      <c r="AR1129" s="85" t="s">
        <v>147</v>
      </c>
      <c r="AS1129" s="85">
        <v>3</v>
      </c>
      <c r="AT1129" s="85">
        <v>3</v>
      </c>
      <c r="AU1129" s="85" t="s">
        <v>379</v>
      </c>
      <c r="AW1129" s="85">
        <v>2440</v>
      </c>
      <c r="AX1129" s="85">
        <v>12</v>
      </c>
      <c r="BM1129" s="85">
        <v>5.7232000000000012</v>
      </c>
      <c r="BN1129" s="85">
        <v>5.7204000000000006</v>
      </c>
      <c r="BO1129" s="26" t="s">
        <v>546</v>
      </c>
      <c r="BQ1129" s="26"/>
      <c r="DC1129" s="26"/>
      <c r="DE1129" s="26"/>
      <c r="FR1129" s="26" t="s">
        <v>877</v>
      </c>
      <c r="FT1129" s="85">
        <v>53</v>
      </c>
    </row>
    <row r="1130" spans="1:176" s="85" customFormat="1" x14ac:dyDescent="0.25">
      <c r="A1130" s="85">
        <v>53</v>
      </c>
      <c r="B1130" s="85" t="s">
        <v>866</v>
      </c>
      <c r="C1130" s="85" t="s">
        <v>867</v>
      </c>
      <c r="D1130" s="85">
        <v>2006</v>
      </c>
      <c r="E1130" s="85">
        <v>2001</v>
      </c>
      <c r="F1130" s="85" t="s">
        <v>868</v>
      </c>
      <c r="G1130" s="85" t="s">
        <v>869</v>
      </c>
      <c r="H1130" s="85">
        <v>33.950000000000003</v>
      </c>
      <c r="I1130" s="85">
        <v>-83.38</v>
      </c>
      <c r="J1130" s="85">
        <v>208.4</v>
      </c>
      <c r="M1130" s="26">
        <v>748</v>
      </c>
      <c r="N1130" s="26">
        <f t="shared" si="228"/>
        <v>1233</v>
      </c>
      <c r="P1130" s="86">
        <v>2</v>
      </c>
      <c r="Q1130" s="86"/>
      <c r="R1130" s="86" t="s">
        <v>879</v>
      </c>
      <c r="S1130" s="86" t="s">
        <v>1564</v>
      </c>
      <c r="T1130" s="52" t="s">
        <v>1564</v>
      </c>
      <c r="U1130" s="86" t="s">
        <v>1565</v>
      </c>
      <c r="V1130" s="52" t="s">
        <v>1908</v>
      </c>
      <c r="X1130" s="85">
        <f t="shared" si="233"/>
        <v>65</v>
      </c>
      <c r="Y1130" s="85">
        <f>25</f>
        <v>25</v>
      </c>
      <c r="Z1130" s="85" t="s">
        <v>278</v>
      </c>
      <c r="AA1130" s="85">
        <v>6.6</v>
      </c>
      <c r="AB1130" s="85">
        <v>0.88</v>
      </c>
      <c r="AD1130" s="85" t="s">
        <v>1507</v>
      </c>
      <c r="AE1130" s="85" t="s">
        <v>1698</v>
      </c>
      <c r="AF1130" s="152" t="s">
        <v>1762</v>
      </c>
      <c r="AG1130" s="85" t="s">
        <v>673</v>
      </c>
      <c r="AH1130" s="154" t="s">
        <v>1808</v>
      </c>
      <c r="AI1130" s="26" t="s">
        <v>876</v>
      </c>
      <c r="AJ1130" s="26" t="s">
        <v>876</v>
      </c>
      <c r="AK1130" s="26" t="s">
        <v>212</v>
      </c>
      <c r="AR1130" s="85" t="s">
        <v>147</v>
      </c>
      <c r="AS1130" s="85">
        <v>3</v>
      </c>
      <c r="AT1130" s="85">
        <v>3</v>
      </c>
      <c r="AU1130" s="85" t="s">
        <v>379</v>
      </c>
      <c r="AW1130" s="85">
        <v>5980</v>
      </c>
      <c r="AX1130" s="85">
        <v>32</v>
      </c>
      <c r="BM1130" s="85">
        <v>5.7232000000000012</v>
      </c>
      <c r="BN1130" s="85">
        <v>5.3116000000000003</v>
      </c>
      <c r="BO1130" s="26" t="s">
        <v>546</v>
      </c>
      <c r="BQ1130" s="26"/>
      <c r="DC1130" s="26"/>
      <c r="DE1130" s="26"/>
      <c r="FR1130" s="26" t="s">
        <v>877</v>
      </c>
      <c r="FT1130" s="85">
        <v>53</v>
      </c>
    </row>
    <row r="1131" spans="1:176" s="26" customFormat="1" x14ac:dyDescent="0.25">
      <c r="A1131" s="26">
        <v>53</v>
      </c>
      <c r="B1131" s="26" t="s">
        <v>866</v>
      </c>
      <c r="C1131" s="26" t="s">
        <v>867</v>
      </c>
      <c r="D1131" s="26">
        <v>2006</v>
      </c>
      <c r="E1131" s="26">
        <v>2002</v>
      </c>
      <c r="F1131" s="26" t="s">
        <v>868</v>
      </c>
      <c r="G1131" s="26" t="s">
        <v>869</v>
      </c>
      <c r="H1131" s="26">
        <v>33.950000000000003</v>
      </c>
      <c r="I1131" s="26">
        <v>-83.38</v>
      </c>
      <c r="J1131" s="26">
        <v>208.4</v>
      </c>
      <c r="M1131" s="26">
        <v>971</v>
      </c>
      <c r="N1131" s="26">
        <f>588+645</f>
        <v>1233</v>
      </c>
      <c r="P1131" s="52">
        <v>3</v>
      </c>
      <c r="Q1131" s="52"/>
      <c r="R1131" s="52" t="s">
        <v>878</v>
      </c>
      <c r="S1131" s="52" t="s">
        <v>1564</v>
      </c>
      <c r="T1131" s="52" t="s">
        <v>1564</v>
      </c>
      <c r="U1131" s="52" t="s">
        <v>1565</v>
      </c>
      <c r="V1131" s="52" t="s">
        <v>1908</v>
      </c>
      <c r="X1131" s="26">
        <f t="shared" si="233"/>
        <v>65</v>
      </c>
      <c r="Y1131" s="26">
        <f>25</f>
        <v>25</v>
      </c>
      <c r="Z1131" s="26" t="s">
        <v>278</v>
      </c>
      <c r="AA1131" s="26">
        <v>6.6</v>
      </c>
      <c r="AB1131" s="26">
        <v>0.88</v>
      </c>
      <c r="AD1131" s="26" t="s">
        <v>1507</v>
      </c>
      <c r="AE1131" s="26" t="s">
        <v>159</v>
      </c>
      <c r="AF1131" s="152" t="s">
        <v>159</v>
      </c>
      <c r="AG1131" s="26" t="s">
        <v>673</v>
      </c>
      <c r="AH1131" s="154" t="s">
        <v>1808</v>
      </c>
      <c r="AI1131" s="26" t="s">
        <v>876</v>
      </c>
      <c r="AJ1131" s="26" t="s">
        <v>876</v>
      </c>
      <c r="AK1131" s="26" t="s">
        <v>212</v>
      </c>
      <c r="AR1131" s="26" t="s">
        <v>147</v>
      </c>
      <c r="AS1131" s="26">
        <v>3</v>
      </c>
      <c r="AT1131" s="26">
        <v>3</v>
      </c>
      <c r="AU1131" s="26" t="s">
        <v>379</v>
      </c>
      <c r="AW1131" s="26">
        <v>2280</v>
      </c>
      <c r="AX1131" s="26">
        <v>40</v>
      </c>
      <c r="BA1131" s="26">
        <v>3667</v>
      </c>
      <c r="BB1131" s="26">
        <v>3567</v>
      </c>
      <c r="BC1131" s="26" t="s">
        <v>1848</v>
      </c>
      <c r="BM1131" s="26">
        <v>6.0452000000000004</v>
      </c>
      <c r="BN1131" s="26">
        <v>7.0504000000000007</v>
      </c>
      <c r="BO1131" s="26" t="s">
        <v>546</v>
      </c>
      <c r="FR1131" s="26" t="s">
        <v>877</v>
      </c>
      <c r="FT1131" s="26">
        <v>53</v>
      </c>
    </row>
    <row r="1132" spans="1:176" s="26" customFormat="1" x14ac:dyDescent="0.25">
      <c r="A1132" s="26">
        <v>53</v>
      </c>
      <c r="B1132" s="26" t="s">
        <v>866</v>
      </c>
      <c r="C1132" s="26" t="s">
        <v>867</v>
      </c>
      <c r="D1132" s="26">
        <v>2006</v>
      </c>
      <c r="E1132" s="26">
        <v>2002</v>
      </c>
      <c r="F1132" s="26" t="s">
        <v>868</v>
      </c>
      <c r="G1132" s="26" t="s">
        <v>869</v>
      </c>
      <c r="H1132" s="26">
        <v>33.950000000000003</v>
      </c>
      <c r="I1132" s="26">
        <v>-83.38</v>
      </c>
      <c r="J1132" s="26">
        <v>208.4</v>
      </c>
      <c r="M1132" s="26">
        <v>971</v>
      </c>
      <c r="N1132" s="26">
        <f t="shared" si="228"/>
        <v>1233</v>
      </c>
      <c r="P1132" s="52">
        <v>3</v>
      </c>
      <c r="Q1132" s="52"/>
      <c r="R1132" s="52" t="s">
        <v>878</v>
      </c>
      <c r="S1132" s="52" t="s">
        <v>1564</v>
      </c>
      <c r="T1132" s="52" t="s">
        <v>1564</v>
      </c>
      <c r="U1132" s="52" t="s">
        <v>1565</v>
      </c>
      <c r="V1132" s="52" t="s">
        <v>1908</v>
      </c>
      <c r="X1132" s="26">
        <f t="shared" si="233"/>
        <v>65</v>
      </c>
      <c r="Y1132" s="26">
        <f>25</f>
        <v>25</v>
      </c>
      <c r="Z1132" s="26" t="s">
        <v>278</v>
      </c>
      <c r="AA1132" s="26">
        <v>6.6</v>
      </c>
      <c r="AB1132" s="26">
        <v>0.88</v>
      </c>
      <c r="AD1132" s="26" t="s">
        <v>1507</v>
      </c>
      <c r="AE1132" s="26" t="s">
        <v>281</v>
      </c>
      <c r="AF1132" s="152" t="s">
        <v>666</v>
      </c>
      <c r="AG1132" s="26" t="s">
        <v>673</v>
      </c>
      <c r="AH1132" s="154" t="s">
        <v>1808</v>
      </c>
      <c r="AI1132" s="26" t="s">
        <v>876</v>
      </c>
      <c r="AJ1132" s="26" t="s">
        <v>876</v>
      </c>
      <c r="AK1132" s="26" t="s">
        <v>212</v>
      </c>
      <c r="AR1132" s="26" t="s">
        <v>147</v>
      </c>
      <c r="AS1132" s="26">
        <v>3</v>
      </c>
      <c r="AT1132" s="26">
        <v>3</v>
      </c>
      <c r="AU1132" s="26" t="s">
        <v>379</v>
      </c>
      <c r="AW1132" s="26">
        <v>5160</v>
      </c>
      <c r="AX1132" s="26">
        <v>10</v>
      </c>
      <c r="BA1132" s="26">
        <v>3667</v>
      </c>
      <c r="BB1132" s="26">
        <v>4067</v>
      </c>
      <c r="BC1132" s="26" t="s">
        <v>1848</v>
      </c>
      <c r="BM1132" s="26">
        <v>6.0452000000000004</v>
      </c>
      <c r="BN1132" s="26">
        <v>9.2904</v>
      </c>
      <c r="BO1132" s="26" t="s">
        <v>546</v>
      </c>
      <c r="FR1132" s="26" t="s">
        <v>877</v>
      </c>
      <c r="FT1132" s="26">
        <v>53</v>
      </c>
    </row>
    <row r="1133" spans="1:176" s="26" customFormat="1" x14ac:dyDescent="0.25">
      <c r="A1133" s="26">
        <v>53</v>
      </c>
      <c r="B1133" s="26" t="s">
        <v>866</v>
      </c>
      <c r="C1133" s="26" t="s">
        <v>867</v>
      </c>
      <c r="D1133" s="26">
        <v>2006</v>
      </c>
      <c r="E1133" s="26">
        <v>2002</v>
      </c>
      <c r="F1133" s="26" t="s">
        <v>868</v>
      </c>
      <c r="G1133" s="26" t="s">
        <v>869</v>
      </c>
      <c r="H1133" s="26">
        <v>33.950000000000003</v>
      </c>
      <c r="I1133" s="26">
        <v>-83.38</v>
      </c>
      <c r="J1133" s="26">
        <v>208.4</v>
      </c>
      <c r="M1133" s="26">
        <v>971</v>
      </c>
      <c r="N1133" s="26">
        <f t="shared" si="228"/>
        <v>1233</v>
      </c>
      <c r="P1133" s="52">
        <v>3</v>
      </c>
      <c r="Q1133" s="52"/>
      <c r="R1133" s="52" t="s">
        <v>878</v>
      </c>
      <c r="S1133" s="52" t="s">
        <v>1564</v>
      </c>
      <c r="T1133" s="52" t="s">
        <v>1564</v>
      </c>
      <c r="U1133" s="52" t="s">
        <v>1565</v>
      </c>
      <c r="V1133" s="52" t="s">
        <v>1908</v>
      </c>
      <c r="X1133" s="26">
        <f t="shared" si="233"/>
        <v>65</v>
      </c>
      <c r="Y1133" s="26">
        <f>25</f>
        <v>25</v>
      </c>
      <c r="Z1133" s="26" t="s">
        <v>278</v>
      </c>
      <c r="AA1133" s="26">
        <v>6.6</v>
      </c>
      <c r="AB1133" s="26">
        <v>0.88</v>
      </c>
      <c r="AD1133" s="26" t="s">
        <v>1507</v>
      </c>
      <c r="AE1133" s="26" t="s">
        <v>1698</v>
      </c>
      <c r="AF1133" s="152" t="s">
        <v>1762</v>
      </c>
      <c r="AG1133" s="26" t="s">
        <v>673</v>
      </c>
      <c r="AH1133" s="154" t="s">
        <v>1808</v>
      </c>
      <c r="AI1133" s="26" t="s">
        <v>876</v>
      </c>
      <c r="AJ1133" s="26" t="s">
        <v>876</v>
      </c>
      <c r="AK1133" s="26" t="s">
        <v>212</v>
      </c>
      <c r="AR1133" s="26" t="s">
        <v>147</v>
      </c>
      <c r="AS1133" s="26">
        <v>3</v>
      </c>
      <c r="AT1133" s="26">
        <v>3</v>
      </c>
      <c r="AU1133" s="26" t="s">
        <v>379</v>
      </c>
      <c r="AW1133" s="26">
        <v>5720</v>
      </c>
      <c r="AX1133" s="26">
        <v>11</v>
      </c>
      <c r="BA1133" s="26">
        <v>3667</v>
      </c>
      <c r="BB1133" s="26">
        <v>4233</v>
      </c>
      <c r="BC1133" s="26" t="s">
        <v>1848</v>
      </c>
      <c r="BM1133" s="26">
        <v>6.0452000000000004</v>
      </c>
      <c r="BN1133" s="26">
        <v>9.2904</v>
      </c>
      <c r="BO1133" s="26" t="s">
        <v>546</v>
      </c>
      <c r="FR1133" s="26" t="s">
        <v>877</v>
      </c>
      <c r="FT1133" s="26">
        <v>53</v>
      </c>
    </row>
    <row r="1134" spans="1:176" s="85" customFormat="1" x14ac:dyDescent="0.25">
      <c r="A1134" s="85">
        <v>53</v>
      </c>
      <c r="B1134" s="85" t="s">
        <v>866</v>
      </c>
      <c r="C1134" s="85" t="s">
        <v>867</v>
      </c>
      <c r="D1134" s="85">
        <v>2006</v>
      </c>
      <c r="E1134" s="85">
        <v>2002</v>
      </c>
      <c r="F1134" s="85" t="s">
        <v>868</v>
      </c>
      <c r="G1134" s="85" t="s">
        <v>869</v>
      </c>
      <c r="H1134" s="85">
        <v>33.950000000000003</v>
      </c>
      <c r="I1134" s="85">
        <v>-83.38</v>
      </c>
      <c r="J1134" s="85">
        <v>208.4</v>
      </c>
      <c r="M1134" s="26">
        <v>971</v>
      </c>
      <c r="N1134" s="26">
        <f t="shared" si="228"/>
        <v>1233</v>
      </c>
      <c r="P1134" s="86">
        <v>3</v>
      </c>
      <c r="Q1134" s="86"/>
      <c r="R1134" s="86" t="s">
        <v>879</v>
      </c>
      <c r="S1134" s="86" t="s">
        <v>1564</v>
      </c>
      <c r="T1134" s="52" t="s">
        <v>1564</v>
      </c>
      <c r="U1134" s="86" t="s">
        <v>1565</v>
      </c>
      <c r="V1134" s="52" t="s">
        <v>1908</v>
      </c>
      <c r="X1134" s="85">
        <f t="shared" si="233"/>
        <v>65</v>
      </c>
      <c r="Y1134" s="85">
        <f>25</f>
        <v>25</v>
      </c>
      <c r="Z1134" s="85" t="s">
        <v>278</v>
      </c>
      <c r="AA1134" s="85">
        <v>6.6</v>
      </c>
      <c r="AB1134" s="85">
        <v>0.88</v>
      </c>
      <c r="AD1134" s="85" t="s">
        <v>1507</v>
      </c>
      <c r="AE1134" s="85" t="s">
        <v>159</v>
      </c>
      <c r="AF1134" s="152" t="s">
        <v>159</v>
      </c>
      <c r="AG1134" s="85" t="s">
        <v>673</v>
      </c>
      <c r="AH1134" s="154" t="s">
        <v>1808</v>
      </c>
      <c r="AI1134" s="26" t="s">
        <v>876</v>
      </c>
      <c r="AJ1134" s="26" t="s">
        <v>876</v>
      </c>
      <c r="AK1134" s="26" t="s">
        <v>212</v>
      </c>
      <c r="AR1134" s="85" t="s">
        <v>147</v>
      </c>
      <c r="AS1134" s="85">
        <v>3</v>
      </c>
      <c r="AT1134" s="85">
        <v>3</v>
      </c>
      <c r="AU1134" s="85" t="s">
        <v>379</v>
      </c>
      <c r="AW1134" s="85">
        <v>2280</v>
      </c>
      <c r="AX1134" s="85">
        <v>40</v>
      </c>
      <c r="BM1134" s="85">
        <v>5.9136000000000006</v>
      </c>
      <c r="BN1134" s="85">
        <v>6.6892000000000005</v>
      </c>
      <c r="BO1134" s="26" t="s">
        <v>546</v>
      </c>
      <c r="BQ1134" s="26"/>
      <c r="DC1134" s="26"/>
      <c r="DE1134" s="26"/>
      <c r="FR1134" s="26" t="s">
        <v>877</v>
      </c>
      <c r="FT1134" s="85">
        <v>53</v>
      </c>
    </row>
    <row r="1135" spans="1:176" s="85" customFormat="1" x14ac:dyDescent="0.25">
      <c r="A1135" s="85">
        <v>53</v>
      </c>
      <c r="B1135" s="85" t="s">
        <v>866</v>
      </c>
      <c r="C1135" s="85" t="s">
        <v>867</v>
      </c>
      <c r="D1135" s="85">
        <v>2006</v>
      </c>
      <c r="E1135" s="85">
        <v>2002</v>
      </c>
      <c r="F1135" s="85" t="s">
        <v>868</v>
      </c>
      <c r="G1135" s="85" t="s">
        <v>869</v>
      </c>
      <c r="H1135" s="85">
        <v>33.950000000000003</v>
      </c>
      <c r="I1135" s="85">
        <v>-83.38</v>
      </c>
      <c r="J1135" s="85">
        <v>208.4</v>
      </c>
      <c r="M1135" s="26">
        <v>971</v>
      </c>
      <c r="N1135" s="26">
        <f t="shared" si="228"/>
        <v>1233</v>
      </c>
      <c r="P1135" s="86">
        <v>3</v>
      </c>
      <c r="Q1135" s="86"/>
      <c r="R1135" s="86" t="s">
        <v>879</v>
      </c>
      <c r="S1135" s="86" t="s">
        <v>1564</v>
      </c>
      <c r="T1135" s="52" t="s">
        <v>1564</v>
      </c>
      <c r="U1135" s="86" t="s">
        <v>1565</v>
      </c>
      <c r="V1135" s="52" t="s">
        <v>1908</v>
      </c>
      <c r="X1135" s="85">
        <f t="shared" si="233"/>
        <v>65</v>
      </c>
      <c r="Y1135" s="85">
        <f>25</f>
        <v>25</v>
      </c>
      <c r="Z1135" s="85" t="s">
        <v>278</v>
      </c>
      <c r="AA1135" s="85">
        <v>6.6</v>
      </c>
      <c r="AB1135" s="85">
        <v>0.88</v>
      </c>
      <c r="AD1135" s="85" t="s">
        <v>1507</v>
      </c>
      <c r="AE1135" s="85" t="s">
        <v>281</v>
      </c>
      <c r="AF1135" s="152" t="s">
        <v>666</v>
      </c>
      <c r="AG1135" s="85" t="s">
        <v>673</v>
      </c>
      <c r="AH1135" s="154" t="s">
        <v>1808</v>
      </c>
      <c r="AI1135" s="26" t="s">
        <v>876</v>
      </c>
      <c r="AJ1135" s="26" t="s">
        <v>876</v>
      </c>
      <c r="AK1135" s="26" t="s">
        <v>212</v>
      </c>
      <c r="AR1135" s="85" t="s">
        <v>147</v>
      </c>
      <c r="AS1135" s="85">
        <v>3</v>
      </c>
      <c r="AT1135" s="85">
        <v>3</v>
      </c>
      <c r="AU1135" s="85" t="s">
        <v>379</v>
      </c>
      <c r="AW1135" s="85">
        <v>5160</v>
      </c>
      <c r="AX1135" s="85">
        <v>10</v>
      </c>
      <c r="BM1135" s="85">
        <v>5.9136000000000006</v>
      </c>
      <c r="BN1135" s="85">
        <v>7.1456000000000008</v>
      </c>
      <c r="BO1135" s="26" t="s">
        <v>546</v>
      </c>
      <c r="BQ1135" s="26"/>
      <c r="DC1135" s="26"/>
      <c r="DE1135" s="26"/>
      <c r="FR1135" s="26" t="s">
        <v>877</v>
      </c>
      <c r="FT1135" s="85">
        <v>53</v>
      </c>
    </row>
    <row r="1136" spans="1:176" s="85" customFormat="1" x14ac:dyDescent="0.25">
      <c r="A1136" s="85">
        <v>53</v>
      </c>
      <c r="B1136" s="85" t="s">
        <v>866</v>
      </c>
      <c r="C1136" s="85" t="s">
        <v>867</v>
      </c>
      <c r="D1136" s="85">
        <v>2006</v>
      </c>
      <c r="E1136" s="85">
        <v>2002</v>
      </c>
      <c r="F1136" s="85" t="s">
        <v>868</v>
      </c>
      <c r="G1136" s="85" t="s">
        <v>869</v>
      </c>
      <c r="H1136" s="85">
        <v>33.950000000000003</v>
      </c>
      <c r="I1136" s="85">
        <v>-83.38</v>
      </c>
      <c r="J1136" s="85">
        <v>208.4</v>
      </c>
      <c r="M1136" s="26">
        <v>971</v>
      </c>
      <c r="N1136" s="26">
        <f t="shared" si="228"/>
        <v>1233</v>
      </c>
      <c r="P1136" s="86">
        <v>3</v>
      </c>
      <c r="Q1136" s="86"/>
      <c r="R1136" s="86" t="s">
        <v>879</v>
      </c>
      <c r="S1136" s="86" t="s">
        <v>1564</v>
      </c>
      <c r="T1136" s="52" t="s">
        <v>1564</v>
      </c>
      <c r="U1136" s="86" t="s">
        <v>1565</v>
      </c>
      <c r="V1136" s="52" t="s">
        <v>1908</v>
      </c>
      <c r="X1136" s="85">
        <f t="shared" si="233"/>
        <v>65</v>
      </c>
      <c r="Y1136" s="85">
        <f>25</f>
        <v>25</v>
      </c>
      <c r="Z1136" s="85" t="s">
        <v>278</v>
      </c>
      <c r="AA1136" s="85">
        <v>6.6</v>
      </c>
      <c r="AB1136" s="85">
        <v>0.88</v>
      </c>
      <c r="AD1136" s="85" t="s">
        <v>1507</v>
      </c>
      <c r="AE1136" s="85" t="s">
        <v>1698</v>
      </c>
      <c r="AF1136" s="152" t="s">
        <v>1762</v>
      </c>
      <c r="AG1136" s="85" t="s">
        <v>673</v>
      </c>
      <c r="AH1136" s="154" t="s">
        <v>1808</v>
      </c>
      <c r="AI1136" s="26" t="s">
        <v>876</v>
      </c>
      <c r="AJ1136" s="26" t="s">
        <v>876</v>
      </c>
      <c r="AK1136" s="26" t="s">
        <v>212</v>
      </c>
      <c r="AR1136" s="85" t="s">
        <v>147</v>
      </c>
      <c r="AS1136" s="85">
        <v>3</v>
      </c>
      <c r="AT1136" s="85">
        <v>3</v>
      </c>
      <c r="AU1136" s="85" t="s">
        <v>379</v>
      </c>
      <c r="AW1136" s="85">
        <v>5720</v>
      </c>
      <c r="AX1136" s="85">
        <v>11</v>
      </c>
      <c r="BM1136" s="85">
        <v>5.9136000000000006</v>
      </c>
      <c r="BN1136" s="85">
        <v>6.370000000000001</v>
      </c>
      <c r="BO1136" s="26" t="s">
        <v>546</v>
      </c>
      <c r="BQ1136" s="26"/>
      <c r="DC1136" s="26"/>
      <c r="DE1136" s="26"/>
      <c r="FR1136" s="26" t="s">
        <v>877</v>
      </c>
      <c r="FT1136" s="85">
        <v>53</v>
      </c>
    </row>
    <row r="1137" spans="1:176" s="35" customFormat="1" x14ac:dyDescent="0.25">
      <c r="A1137" s="35">
        <v>53</v>
      </c>
      <c r="B1137" s="35" t="s">
        <v>866</v>
      </c>
      <c r="C1137" s="35" t="s">
        <v>867</v>
      </c>
      <c r="D1137" s="35">
        <v>2006</v>
      </c>
      <c r="E1137" s="35">
        <v>2000</v>
      </c>
      <c r="F1137" s="35" t="s">
        <v>868</v>
      </c>
      <c r="G1137" s="35" t="s">
        <v>869</v>
      </c>
      <c r="H1137" s="35">
        <v>33.950000000000003</v>
      </c>
      <c r="I1137" s="35">
        <v>-83.38</v>
      </c>
      <c r="J1137" s="35">
        <v>208.4</v>
      </c>
      <c r="M1137" s="35">
        <f>278+505</f>
        <v>783</v>
      </c>
      <c r="N1137" s="35">
        <f>588+645</f>
        <v>1233</v>
      </c>
      <c r="P1137" s="54">
        <v>1</v>
      </c>
      <c r="Q1137" s="54"/>
      <c r="R1137" s="54" t="s">
        <v>878</v>
      </c>
      <c r="S1137" s="54" t="s">
        <v>1584</v>
      </c>
      <c r="T1137" s="54" t="s">
        <v>1564</v>
      </c>
      <c r="U1137" s="54" t="s">
        <v>1565</v>
      </c>
      <c r="V1137" s="54" t="s">
        <v>1908</v>
      </c>
      <c r="X1137" s="35">
        <f t="shared" si="233"/>
        <v>65</v>
      </c>
      <c r="Y1137" s="35">
        <f>25</f>
        <v>25</v>
      </c>
      <c r="Z1137" s="35" t="s">
        <v>278</v>
      </c>
      <c r="AA1137" s="35">
        <v>6.6</v>
      </c>
      <c r="AB1137" s="35">
        <v>0.88</v>
      </c>
      <c r="AD1137" s="35" t="s">
        <v>1507</v>
      </c>
      <c r="AE1137" s="35" t="s">
        <v>159</v>
      </c>
      <c r="AF1137" s="152" t="s">
        <v>159</v>
      </c>
      <c r="AG1137" s="35" t="s">
        <v>673</v>
      </c>
      <c r="AH1137" s="154" t="s">
        <v>1808</v>
      </c>
      <c r="AI1137" s="35" t="s">
        <v>876</v>
      </c>
      <c r="AJ1137" s="35" t="s">
        <v>876</v>
      </c>
      <c r="AK1137" s="35" t="s">
        <v>212</v>
      </c>
      <c r="AR1137" s="35" t="s">
        <v>147</v>
      </c>
      <c r="AS1137" s="35">
        <v>3</v>
      </c>
      <c r="AT1137" s="35">
        <v>3</v>
      </c>
      <c r="AU1137" s="35" t="s">
        <v>379</v>
      </c>
      <c r="AW1137" s="35">
        <f>6.07*1000</f>
        <v>6070</v>
      </c>
      <c r="AX1137" s="35">
        <v>29</v>
      </c>
      <c r="BM1137" s="35">
        <v>8.0332000000000008</v>
      </c>
      <c r="BN1137" s="35">
        <v>6.983200000000001</v>
      </c>
      <c r="BO1137" s="35" t="s">
        <v>546</v>
      </c>
      <c r="BQ1137" s="26"/>
      <c r="FR1137" s="35" t="s">
        <v>877</v>
      </c>
      <c r="FT1137" s="35">
        <v>53</v>
      </c>
    </row>
    <row r="1138" spans="1:176" s="35" customFormat="1" x14ac:dyDescent="0.25">
      <c r="A1138" s="35">
        <v>53</v>
      </c>
      <c r="B1138" s="35" t="s">
        <v>866</v>
      </c>
      <c r="C1138" s="35" t="s">
        <v>867</v>
      </c>
      <c r="D1138" s="35">
        <v>2006</v>
      </c>
      <c r="E1138" s="35">
        <v>2000</v>
      </c>
      <c r="F1138" s="35" t="s">
        <v>868</v>
      </c>
      <c r="G1138" s="35" t="s">
        <v>869</v>
      </c>
      <c r="H1138" s="35">
        <v>33.950000000000003</v>
      </c>
      <c r="I1138" s="35">
        <v>-83.38</v>
      </c>
      <c r="J1138" s="35">
        <v>208.4</v>
      </c>
      <c r="M1138" s="35">
        <f t="shared" si="234"/>
        <v>783</v>
      </c>
      <c r="N1138" s="35">
        <f t="shared" si="228"/>
        <v>1233</v>
      </c>
      <c r="P1138" s="54">
        <v>1</v>
      </c>
      <c r="Q1138" s="54"/>
      <c r="R1138" s="54" t="s">
        <v>878</v>
      </c>
      <c r="S1138" s="54" t="s">
        <v>1584</v>
      </c>
      <c r="T1138" s="54" t="s">
        <v>1564</v>
      </c>
      <c r="U1138" s="54" t="s">
        <v>1565</v>
      </c>
      <c r="V1138" s="54" t="s">
        <v>1908</v>
      </c>
      <c r="X1138" s="35">
        <f t="shared" si="233"/>
        <v>65</v>
      </c>
      <c r="Y1138" s="35">
        <f>25</f>
        <v>25</v>
      </c>
      <c r="Z1138" s="35" t="s">
        <v>278</v>
      </c>
      <c r="AA1138" s="35">
        <v>6.6</v>
      </c>
      <c r="AB1138" s="35">
        <v>0.88</v>
      </c>
      <c r="AD1138" s="35" t="s">
        <v>1507</v>
      </c>
      <c r="AE1138" s="35" t="s">
        <v>281</v>
      </c>
      <c r="AF1138" s="152" t="s">
        <v>666</v>
      </c>
      <c r="AG1138" s="35" t="s">
        <v>673</v>
      </c>
      <c r="AH1138" s="154" t="s">
        <v>1808</v>
      </c>
      <c r="AI1138" s="35" t="s">
        <v>876</v>
      </c>
      <c r="AJ1138" s="35" t="s">
        <v>876</v>
      </c>
      <c r="AK1138" s="35" t="s">
        <v>212</v>
      </c>
      <c r="AR1138" s="35" t="s">
        <v>147</v>
      </c>
      <c r="AS1138" s="35">
        <v>3</v>
      </c>
      <c r="AT1138" s="35">
        <v>3</v>
      </c>
      <c r="AU1138" s="35" t="s">
        <v>379</v>
      </c>
      <c r="AW1138" s="35">
        <v>5100</v>
      </c>
      <c r="AX1138" s="35">
        <v>12</v>
      </c>
      <c r="BM1138" s="35">
        <v>8.0332000000000008</v>
      </c>
      <c r="BN1138" s="35">
        <v>10.5448</v>
      </c>
      <c r="BO1138" s="35" t="s">
        <v>546</v>
      </c>
      <c r="BQ1138" s="26"/>
      <c r="FR1138" s="35" t="s">
        <v>877</v>
      </c>
      <c r="FT1138" s="35">
        <v>53</v>
      </c>
    </row>
    <row r="1139" spans="1:176" s="35" customFormat="1" x14ac:dyDescent="0.25">
      <c r="A1139" s="35">
        <v>53</v>
      </c>
      <c r="B1139" s="35" t="s">
        <v>866</v>
      </c>
      <c r="C1139" s="35" t="s">
        <v>867</v>
      </c>
      <c r="D1139" s="35">
        <v>2006</v>
      </c>
      <c r="E1139" s="35">
        <v>2000</v>
      </c>
      <c r="F1139" s="35" t="s">
        <v>868</v>
      </c>
      <c r="G1139" s="35" t="s">
        <v>869</v>
      </c>
      <c r="H1139" s="35">
        <v>33.950000000000003</v>
      </c>
      <c r="I1139" s="35">
        <v>-83.38</v>
      </c>
      <c r="J1139" s="35">
        <v>208.4</v>
      </c>
      <c r="M1139" s="35">
        <f t="shared" si="234"/>
        <v>783</v>
      </c>
      <c r="N1139" s="35">
        <f t="shared" si="228"/>
        <v>1233</v>
      </c>
      <c r="P1139" s="54">
        <v>1</v>
      </c>
      <c r="Q1139" s="54"/>
      <c r="R1139" s="54" t="s">
        <v>878</v>
      </c>
      <c r="S1139" s="54" t="s">
        <v>1584</v>
      </c>
      <c r="T1139" s="54" t="s">
        <v>1564</v>
      </c>
      <c r="U1139" s="54" t="s">
        <v>1565</v>
      </c>
      <c r="V1139" s="54" t="s">
        <v>1908</v>
      </c>
      <c r="X1139" s="35">
        <f t="shared" si="233"/>
        <v>65</v>
      </c>
      <c r="Y1139" s="35">
        <f>25</f>
        <v>25</v>
      </c>
      <c r="Z1139" s="35" t="s">
        <v>278</v>
      </c>
      <c r="AA1139" s="35">
        <v>6.6</v>
      </c>
      <c r="AB1139" s="35">
        <v>0.88</v>
      </c>
      <c r="AD1139" s="35" t="s">
        <v>1507</v>
      </c>
      <c r="AE1139" s="35" t="s">
        <v>1698</v>
      </c>
      <c r="AF1139" s="152" t="s">
        <v>1762</v>
      </c>
      <c r="AG1139" s="35" t="s">
        <v>673</v>
      </c>
      <c r="AH1139" s="154" t="s">
        <v>1808</v>
      </c>
      <c r="AI1139" s="35" t="s">
        <v>876</v>
      </c>
      <c r="AJ1139" s="35" t="s">
        <v>876</v>
      </c>
      <c r="AK1139" s="35" t="s">
        <v>212</v>
      </c>
      <c r="AR1139" s="35" t="s">
        <v>147</v>
      </c>
      <c r="AS1139" s="35">
        <v>3</v>
      </c>
      <c r="AT1139" s="35">
        <v>3</v>
      </c>
      <c r="AU1139" s="35" t="s">
        <v>379</v>
      </c>
      <c r="AW1139" s="35">
        <v>8180</v>
      </c>
      <c r="AX1139" s="35">
        <v>10</v>
      </c>
      <c r="BM1139" s="35">
        <v>8.0332000000000008</v>
      </c>
      <c r="BN1139" s="35">
        <v>8.9012000000000011</v>
      </c>
      <c r="BO1139" s="35" t="s">
        <v>546</v>
      </c>
      <c r="BQ1139" s="26"/>
      <c r="FR1139" s="35" t="s">
        <v>877</v>
      </c>
      <c r="FT1139" s="35">
        <v>53</v>
      </c>
    </row>
    <row r="1140" spans="1:176" s="87" customFormat="1" x14ac:dyDescent="0.25">
      <c r="A1140" s="87">
        <v>53</v>
      </c>
      <c r="B1140" s="87" t="s">
        <v>866</v>
      </c>
      <c r="C1140" s="87" t="s">
        <v>867</v>
      </c>
      <c r="D1140" s="87">
        <v>2006</v>
      </c>
      <c r="E1140" s="87">
        <v>2000</v>
      </c>
      <c r="F1140" s="87" t="s">
        <v>868</v>
      </c>
      <c r="G1140" s="87" t="s">
        <v>869</v>
      </c>
      <c r="H1140" s="87">
        <v>33.950000000000003</v>
      </c>
      <c r="I1140" s="87">
        <v>-83.38</v>
      </c>
      <c r="J1140" s="87">
        <v>208.4</v>
      </c>
      <c r="M1140" s="35">
        <f t="shared" si="234"/>
        <v>783</v>
      </c>
      <c r="N1140" s="35">
        <f t="shared" si="228"/>
        <v>1233</v>
      </c>
      <c r="P1140" s="88">
        <v>1</v>
      </c>
      <c r="Q1140" s="88"/>
      <c r="R1140" s="88" t="s">
        <v>879</v>
      </c>
      <c r="S1140" s="88" t="s">
        <v>1584</v>
      </c>
      <c r="T1140" s="88" t="s">
        <v>1564</v>
      </c>
      <c r="U1140" s="88" t="s">
        <v>1565</v>
      </c>
      <c r="V1140" s="88" t="s">
        <v>1908</v>
      </c>
      <c r="X1140" s="87">
        <f t="shared" si="233"/>
        <v>65</v>
      </c>
      <c r="Y1140" s="87">
        <f>25</f>
        <v>25</v>
      </c>
      <c r="Z1140" s="87" t="s">
        <v>278</v>
      </c>
      <c r="AA1140" s="87">
        <v>6.6</v>
      </c>
      <c r="AB1140" s="87">
        <v>0.88</v>
      </c>
      <c r="AD1140" s="87" t="s">
        <v>1507</v>
      </c>
      <c r="AE1140" s="87" t="s">
        <v>159</v>
      </c>
      <c r="AF1140" s="152" t="s">
        <v>159</v>
      </c>
      <c r="AG1140" s="87" t="s">
        <v>673</v>
      </c>
      <c r="AH1140" s="154" t="s">
        <v>1808</v>
      </c>
      <c r="AI1140" s="35" t="s">
        <v>876</v>
      </c>
      <c r="AJ1140" s="35" t="s">
        <v>876</v>
      </c>
      <c r="AK1140" s="35" t="s">
        <v>212</v>
      </c>
      <c r="AR1140" s="87" t="s">
        <v>147</v>
      </c>
      <c r="AS1140" s="87">
        <v>3</v>
      </c>
      <c r="AT1140" s="87">
        <v>3</v>
      </c>
      <c r="AU1140" s="87" t="s">
        <v>379</v>
      </c>
      <c r="AW1140" s="87">
        <v>6070</v>
      </c>
      <c r="AX1140" s="87">
        <v>29</v>
      </c>
      <c r="BM1140" s="87">
        <v>11.583600000000001</v>
      </c>
      <c r="BN1140" s="87">
        <v>11.356800000000002</v>
      </c>
      <c r="BO1140" s="35" t="s">
        <v>546</v>
      </c>
      <c r="BQ1140" s="26"/>
      <c r="DC1140" s="35"/>
      <c r="DE1140" s="35"/>
      <c r="FR1140" s="35" t="s">
        <v>877</v>
      </c>
      <c r="FT1140" s="87">
        <v>53</v>
      </c>
    </row>
    <row r="1141" spans="1:176" s="87" customFormat="1" x14ac:dyDescent="0.25">
      <c r="A1141" s="87">
        <v>53</v>
      </c>
      <c r="B1141" s="87" t="s">
        <v>866</v>
      </c>
      <c r="C1141" s="87" t="s">
        <v>867</v>
      </c>
      <c r="D1141" s="87">
        <v>2006</v>
      </c>
      <c r="E1141" s="87">
        <v>2000</v>
      </c>
      <c r="F1141" s="87" t="s">
        <v>868</v>
      </c>
      <c r="G1141" s="87" t="s">
        <v>869</v>
      </c>
      <c r="H1141" s="87">
        <v>33.950000000000003</v>
      </c>
      <c r="I1141" s="87">
        <v>-83.38</v>
      </c>
      <c r="J1141" s="87">
        <v>208.4</v>
      </c>
      <c r="M1141" s="35">
        <f t="shared" si="234"/>
        <v>783</v>
      </c>
      <c r="N1141" s="35">
        <f t="shared" si="228"/>
        <v>1233</v>
      </c>
      <c r="P1141" s="88">
        <v>1</v>
      </c>
      <c r="Q1141" s="88"/>
      <c r="R1141" s="88" t="s">
        <v>879</v>
      </c>
      <c r="S1141" s="88" t="s">
        <v>1584</v>
      </c>
      <c r="T1141" s="88" t="s">
        <v>1564</v>
      </c>
      <c r="U1141" s="88" t="s">
        <v>1565</v>
      </c>
      <c r="V1141" s="88" t="s">
        <v>1908</v>
      </c>
      <c r="X1141" s="87">
        <f t="shared" si="233"/>
        <v>65</v>
      </c>
      <c r="Y1141" s="87">
        <f>25</f>
        <v>25</v>
      </c>
      <c r="Z1141" s="87" t="s">
        <v>278</v>
      </c>
      <c r="AA1141" s="87">
        <v>6.6</v>
      </c>
      <c r="AB1141" s="87">
        <v>0.88</v>
      </c>
      <c r="AD1141" s="87" t="s">
        <v>1507</v>
      </c>
      <c r="AE1141" s="87" t="s">
        <v>281</v>
      </c>
      <c r="AF1141" s="152" t="s">
        <v>666</v>
      </c>
      <c r="AG1141" s="87" t="s">
        <v>673</v>
      </c>
      <c r="AH1141" s="154" t="s">
        <v>1808</v>
      </c>
      <c r="AI1141" s="35" t="s">
        <v>876</v>
      </c>
      <c r="AJ1141" s="35" t="s">
        <v>876</v>
      </c>
      <c r="AK1141" s="35" t="s">
        <v>212</v>
      </c>
      <c r="AR1141" s="87" t="s">
        <v>147</v>
      </c>
      <c r="AS1141" s="87">
        <v>3</v>
      </c>
      <c r="AT1141" s="87">
        <v>3</v>
      </c>
      <c r="AU1141" s="87" t="s">
        <v>379</v>
      </c>
      <c r="AW1141" s="87">
        <v>5100</v>
      </c>
      <c r="AX1141" s="87">
        <v>12</v>
      </c>
      <c r="BM1141" s="87">
        <v>11.583600000000001</v>
      </c>
      <c r="BN1141" s="87">
        <v>12.544</v>
      </c>
      <c r="BO1141" s="35" t="s">
        <v>546</v>
      </c>
      <c r="BQ1141" s="26"/>
      <c r="DC1141" s="35"/>
      <c r="DE1141" s="35"/>
      <c r="FR1141" s="35" t="s">
        <v>877</v>
      </c>
      <c r="FT1141" s="87">
        <v>53</v>
      </c>
    </row>
    <row r="1142" spans="1:176" s="87" customFormat="1" x14ac:dyDescent="0.25">
      <c r="A1142" s="87">
        <v>53</v>
      </c>
      <c r="B1142" s="87" t="s">
        <v>866</v>
      </c>
      <c r="C1142" s="87" t="s">
        <v>867</v>
      </c>
      <c r="D1142" s="87">
        <v>2006</v>
      </c>
      <c r="E1142" s="87">
        <v>2000</v>
      </c>
      <c r="F1142" s="87" t="s">
        <v>868</v>
      </c>
      <c r="G1142" s="87" t="s">
        <v>869</v>
      </c>
      <c r="H1142" s="87">
        <v>33.950000000000003</v>
      </c>
      <c r="I1142" s="87">
        <v>-83.38</v>
      </c>
      <c r="J1142" s="87">
        <v>208.4</v>
      </c>
      <c r="M1142" s="35">
        <f t="shared" si="234"/>
        <v>783</v>
      </c>
      <c r="N1142" s="35">
        <f t="shared" si="228"/>
        <v>1233</v>
      </c>
      <c r="P1142" s="88">
        <v>1</v>
      </c>
      <c r="Q1142" s="88"/>
      <c r="R1142" s="88" t="s">
        <v>879</v>
      </c>
      <c r="S1142" s="88" t="s">
        <v>1584</v>
      </c>
      <c r="T1142" s="88" t="s">
        <v>1564</v>
      </c>
      <c r="U1142" s="88" t="s">
        <v>1565</v>
      </c>
      <c r="V1142" s="88" t="s">
        <v>1908</v>
      </c>
      <c r="X1142" s="87">
        <f t="shared" si="233"/>
        <v>65</v>
      </c>
      <c r="Y1142" s="87">
        <f>25</f>
        <v>25</v>
      </c>
      <c r="Z1142" s="87" t="s">
        <v>278</v>
      </c>
      <c r="AA1142" s="87">
        <v>6.6</v>
      </c>
      <c r="AB1142" s="87">
        <v>0.88</v>
      </c>
      <c r="AD1142" s="87" t="s">
        <v>1507</v>
      </c>
      <c r="AE1142" s="87" t="s">
        <v>1698</v>
      </c>
      <c r="AF1142" s="152" t="s">
        <v>1762</v>
      </c>
      <c r="AG1142" s="87" t="s">
        <v>673</v>
      </c>
      <c r="AH1142" s="154" t="s">
        <v>1808</v>
      </c>
      <c r="AI1142" s="35" t="s">
        <v>876</v>
      </c>
      <c r="AJ1142" s="35" t="s">
        <v>876</v>
      </c>
      <c r="AK1142" s="35" t="s">
        <v>212</v>
      </c>
      <c r="AR1142" s="87" t="s">
        <v>147</v>
      </c>
      <c r="AS1142" s="87">
        <v>3</v>
      </c>
      <c r="AT1142" s="87">
        <v>3</v>
      </c>
      <c r="AU1142" s="87" t="s">
        <v>379</v>
      </c>
      <c r="AW1142" s="87">
        <v>8180</v>
      </c>
      <c r="AX1142" s="87">
        <v>10</v>
      </c>
      <c r="BM1142" s="87">
        <v>11.583600000000001</v>
      </c>
      <c r="BN1142" s="87">
        <v>11.8132</v>
      </c>
      <c r="BO1142" s="35" t="s">
        <v>546</v>
      </c>
      <c r="BQ1142" s="26"/>
      <c r="DC1142" s="35"/>
      <c r="DE1142" s="35"/>
      <c r="FR1142" s="35" t="s">
        <v>877</v>
      </c>
      <c r="FT1142" s="87">
        <v>53</v>
      </c>
    </row>
    <row r="1143" spans="1:176" s="35" customFormat="1" x14ac:dyDescent="0.25">
      <c r="A1143" s="35">
        <v>53</v>
      </c>
      <c r="B1143" s="35" t="s">
        <v>866</v>
      </c>
      <c r="C1143" s="35" t="s">
        <v>867</v>
      </c>
      <c r="D1143" s="35">
        <v>2006</v>
      </c>
      <c r="E1143" s="35">
        <v>2001</v>
      </c>
      <c r="F1143" s="35" t="s">
        <v>868</v>
      </c>
      <c r="G1143" s="35" t="s">
        <v>869</v>
      </c>
      <c r="H1143" s="35">
        <v>33.950000000000003</v>
      </c>
      <c r="I1143" s="35">
        <v>-83.38</v>
      </c>
      <c r="J1143" s="35">
        <v>208.4</v>
      </c>
      <c r="M1143" s="35">
        <v>748</v>
      </c>
      <c r="N1143" s="35">
        <f>588+645</f>
        <v>1233</v>
      </c>
      <c r="P1143" s="54">
        <v>2</v>
      </c>
      <c r="Q1143" s="54"/>
      <c r="R1143" s="54" t="s">
        <v>878</v>
      </c>
      <c r="S1143" s="54" t="s">
        <v>1584</v>
      </c>
      <c r="T1143" s="54" t="s">
        <v>1564</v>
      </c>
      <c r="U1143" s="54" t="s">
        <v>1565</v>
      </c>
      <c r="V1143" s="54" t="s">
        <v>1908</v>
      </c>
      <c r="X1143" s="35">
        <f t="shared" si="233"/>
        <v>65</v>
      </c>
      <c r="Y1143" s="35">
        <f>25</f>
        <v>25</v>
      </c>
      <c r="Z1143" s="35" t="s">
        <v>278</v>
      </c>
      <c r="AA1143" s="35">
        <v>6.6</v>
      </c>
      <c r="AB1143" s="35">
        <v>0.88</v>
      </c>
      <c r="AD1143" s="35" t="s">
        <v>1507</v>
      </c>
      <c r="AE1143" s="35" t="s">
        <v>159</v>
      </c>
      <c r="AF1143" s="152" t="s">
        <v>159</v>
      </c>
      <c r="AG1143" s="35" t="s">
        <v>673</v>
      </c>
      <c r="AH1143" s="154" t="s">
        <v>1808</v>
      </c>
      <c r="AI1143" s="35" t="s">
        <v>876</v>
      </c>
      <c r="AJ1143" s="35" t="s">
        <v>876</v>
      </c>
      <c r="AK1143" s="35" t="s">
        <v>212</v>
      </c>
      <c r="AR1143" s="35" t="s">
        <v>147</v>
      </c>
      <c r="AS1143" s="35">
        <v>3</v>
      </c>
      <c r="AT1143" s="35">
        <v>3</v>
      </c>
      <c r="AU1143" s="35" t="s">
        <v>379</v>
      </c>
      <c r="AW1143" s="35">
        <v>3810</v>
      </c>
      <c r="AX1143" s="35">
        <v>57</v>
      </c>
      <c r="BM1143" s="35">
        <v>8.0108000000000015</v>
      </c>
      <c r="BN1143" s="35">
        <v>8.0108000000000015</v>
      </c>
      <c r="BO1143" s="35" t="s">
        <v>546</v>
      </c>
      <c r="BQ1143" s="26"/>
      <c r="FR1143" s="35" t="s">
        <v>877</v>
      </c>
      <c r="FT1143" s="35">
        <v>53</v>
      </c>
    </row>
    <row r="1144" spans="1:176" s="35" customFormat="1" x14ac:dyDescent="0.25">
      <c r="A1144" s="35">
        <v>53</v>
      </c>
      <c r="B1144" s="35" t="s">
        <v>866</v>
      </c>
      <c r="C1144" s="35" t="s">
        <v>867</v>
      </c>
      <c r="D1144" s="35">
        <v>2006</v>
      </c>
      <c r="E1144" s="35">
        <v>2001</v>
      </c>
      <c r="F1144" s="35" t="s">
        <v>868</v>
      </c>
      <c r="G1144" s="35" t="s">
        <v>869</v>
      </c>
      <c r="H1144" s="35">
        <v>33.950000000000003</v>
      </c>
      <c r="I1144" s="35">
        <v>-83.38</v>
      </c>
      <c r="J1144" s="35">
        <v>208.4</v>
      </c>
      <c r="M1144" s="35">
        <v>748</v>
      </c>
      <c r="N1144" s="35">
        <f t="shared" si="228"/>
        <v>1233</v>
      </c>
      <c r="P1144" s="54">
        <v>2</v>
      </c>
      <c r="Q1144" s="54"/>
      <c r="R1144" s="54" t="s">
        <v>878</v>
      </c>
      <c r="S1144" s="54" t="s">
        <v>1584</v>
      </c>
      <c r="T1144" s="54" t="s">
        <v>1564</v>
      </c>
      <c r="U1144" s="54" t="s">
        <v>1565</v>
      </c>
      <c r="V1144" s="54" t="s">
        <v>1908</v>
      </c>
      <c r="X1144" s="35">
        <f t="shared" si="233"/>
        <v>65</v>
      </c>
      <c r="Y1144" s="35">
        <f>25</f>
        <v>25</v>
      </c>
      <c r="Z1144" s="35" t="s">
        <v>278</v>
      </c>
      <c r="AA1144" s="35">
        <v>6.6</v>
      </c>
      <c r="AB1144" s="35">
        <v>0.88</v>
      </c>
      <c r="AD1144" s="35" t="s">
        <v>1507</v>
      </c>
      <c r="AE1144" s="35" t="s">
        <v>281</v>
      </c>
      <c r="AF1144" s="152" t="s">
        <v>666</v>
      </c>
      <c r="AG1144" s="35" t="s">
        <v>673</v>
      </c>
      <c r="AH1144" s="154" t="s">
        <v>1808</v>
      </c>
      <c r="AI1144" s="35" t="s">
        <v>876</v>
      </c>
      <c r="AJ1144" s="35" t="s">
        <v>876</v>
      </c>
      <c r="AK1144" s="35" t="s">
        <v>212</v>
      </c>
      <c r="AR1144" s="35" t="s">
        <v>147</v>
      </c>
      <c r="AS1144" s="35">
        <v>3</v>
      </c>
      <c r="AT1144" s="35">
        <v>3</v>
      </c>
      <c r="AU1144" s="35" t="s">
        <v>379</v>
      </c>
      <c r="AW1144" s="35">
        <v>2440</v>
      </c>
      <c r="AX1144" s="35">
        <v>12</v>
      </c>
      <c r="BM1144" s="35">
        <v>8.0108000000000015</v>
      </c>
      <c r="BN1144" s="35">
        <v>8.6492000000000004</v>
      </c>
      <c r="BO1144" s="35" t="s">
        <v>546</v>
      </c>
      <c r="BQ1144" s="26"/>
      <c r="FR1144" s="35" t="s">
        <v>877</v>
      </c>
      <c r="FT1144" s="35">
        <v>53</v>
      </c>
    </row>
    <row r="1145" spans="1:176" s="35" customFormat="1" x14ac:dyDescent="0.25">
      <c r="A1145" s="35">
        <v>53</v>
      </c>
      <c r="B1145" s="35" t="s">
        <v>866</v>
      </c>
      <c r="C1145" s="35" t="s">
        <v>867</v>
      </c>
      <c r="D1145" s="35">
        <v>2006</v>
      </c>
      <c r="E1145" s="35">
        <v>2001</v>
      </c>
      <c r="F1145" s="35" t="s">
        <v>868</v>
      </c>
      <c r="G1145" s="35" t="s">
        <v>869</v>
      </c>
      <c r="H1145" s="35">
        <v>33.950000000000003</v>
      </c>
      <c r="I1145" s="35">
        <v>-83.38</v>
      </c>
      <c r="J1145" s="35">
        <v>208.4</v>
      </c>
      <c r="M1145" s="35">
        <v>748</v>
      </c>
      <c r="N1145" s="35">
        <f t="shared" si="228"/>
        <v>1233</v>
      </c>
      <c r="P1145" s="54">
        <v>2</v>
      </c>
      <c r="Q1145" s="54"/>
      <c r="R1145" s="54" t="s">
        <v>878</v>
      </c>
      <c r="S1145" s="54" t="s">
        <v>1584</v>
      </c>
      <c r="T1145" s="54" t="s">
        <v>1564</v>
      </c>
      <c r="U1145" s="54" t="s">
        <v>1565</v>
      </c>
      <c r="V1145" s="54" t="s">
        <v>1908</v>
      </c>
      <c r="X1145" s="35">
        <f t="shared" si="233"/>
        <v>65</v>
      </c>
      <c r="Y1145" s="35">
        <f>25</f>
        <v>25</v>
      </c>
      <c r="Z1145" s="35" t="s">
        <v>278</v>
      </c>
      <c r="AA1145" s="35">
        <v>6.6</v>
      </c>
      <c r="AB1145" s="35">
        <v>0.88</v>
      </c>
      <c r="AD1145" s="35" t="s">
        <v>1507</v>
      </c>
      <c r="AE1145" s="35" t="s">
        <v>1698</v>
      </c>
      <c r="AF1145" s="152" t="s">
        <v>1762</v>
      </c>
      <c r="AG1145" s="35" t="s">
        <v>673</v>
      </c>
      <c r="AH1145" s="154" t="s">
        <v>1808</v>
      </c>
      <c r="AI1145" s="35" t="s">
        <v>876</v>
      </c>
      <c r="AJ1145" s="35" t="s">
        <v>876</v>
      </c>
      <c r="AK1145" s="35" t="s">
        <v>212</v>
      </c>
      <c r="AR1145" s="35" t="s">
        <v>147</v>
      </c>
      <c r="AS1145" s="35">
        <v>3</v>
      </c>
      <c r="AT1145" s="35">
        <v>3</v>
      </c>
      <c r="AU1145" s="35" t="s">
        <v>379</v>
      </c>
      <c r="AW1145" s="35">
        <v>5980</v>
      </c>
      <c r="AX1145" s="35">
        <v>32</v>
      </c>
      <c r="BM1145" s="35">
        <v>8.0108000000000015</v>
      </c>
      <c r="BN1145" s="35">
        <v>8.0108000000000015</v>
      </c>
      <c r="BO1145" s="35" t="s">
        <v>546</v>
      </c>
      <c r="BQ1145" s="26"/>
      <c r="FR1145" s="35" t="s">
        <v>877</v>
      </c>
      <c r="FT1145" s="35">
        <v>53</v>
      </c>
    </row>
    <row r="1146" spans="1:176" s="87" customFormat="1" x14ac:dyDescent="0.25">
      <c r="A1146" s="87">
        <v>53</v>
      </c>
      <c r="B1146" s="87" t="s">
        <v>866</v>
      </c>
      <c r="C1146" s="87" t="s">
        <v>867</v>
      </c>
      <c r="D1146" s="87">
        <v>2006</v>
      </c>
      <c r="E1146" s="87">
        <v>2001</v>
      </c>
      <c r="F1146" s="87" t="s">
        <v>868</v>
      </c>
      <c r="G1146" s="87" t="s">
        <v>869</v>
      </c>
      <c r="H1146" s="87">
        <v>33.950000000000003</v>
      </c>
      <c r="I1146" s="87">
        <v>-83.38</v>
      </c>
      <c r="J1146" s="87">
        <v>208.4</v>
      </c>
      <c r="M1146" s="35">
        <v>748</v>
      </c>
      <c r="N1146" s="35">
        <f t="shared" si="228"/>
        <v>1233</v>
      </c>
      <c r="P1146" s="88">
        <v>2</v>
      </c>
      <c r="Q1146" s="88"/>
      <c r="R1146" s="88" t="s">
        <v>879</v>
      </c>
      <c r="S1146" s="88" t="s">
        <v>1584</v>
      </c>
      <c r="T1146" s="88" t="s">
        <v>1564</v>
      </c>
      <c r="U1146" s="88" t="s">
        <v>1565</v>
      </c>
      <c r="V1146" s="88" t="s">
        <v>1908</v>
      </c>
      <c r="X1146" s="87">
        <f t="shared" si="233"/>
        <v>65</v>
      </c>
      <c r="Y1146" s="87">
        <f>25</f>
        <v>25</v>
      </c>
      <c r="Z1146" s="87" t="s">
        <v>278</v>
      </c>
      <c r="AA1146" s="87">
        <v>6.6</v>
      </c>
      <c r="AB1146" s="87">
        <v>0.88</v>
      </c>
      <c r="AD1146" s="87" t="s">
        <v>1507</v>
      </c>
      <c r="AE1146" s="87" t="s">
        <v>159</v>
      </c>
      <c r="AF1146" s="152" t="s">
        <v>159</v>
      </c>
      <c r="AG1146" s="87" t="s">
        <v>673</v>
      </c>
      <c r="AH1146" s="154" t="s">
        <v>1808</v>
      </c>
      <c r="AI1146" s="35" t="s">
        <v>876</v>
      </c>
      <c r="AJ1146" s="35" t="s">
        <v>876</v>
      </c>
      <c r="AK1146" s="35" t="s">
        <v>212</v>
      </c>
      <c r="AR1146" s="87" t="s">
        <v>147</v>
      </c>
      <c r="AS1146" s="87">
        <v>3</v>
      </c>
      <c r="AT1146" s="87">
        <v>3</v>
      </c>
      <c r="AU1146" s="87" t="s">
        <v>379</v>
      </c>
      <c r="AW1146" s="87">
        <v>3810</v>
      </c>
      <c r="AX1146" s="87">
        <v>57</v>
      </c>
      <c r="BM1146" s="87">
        <v>8.4560000000000013</v>
      </c>
      <c r="BN1146" s="87">
        <v>8.4560000000000013</v>
      </c>
      <c r="BO1146" s="35" t="s">
        <v>546</v>
      </c>
      <c r="BQ1146" s="26"/>
      <c r="DC1146" s="35"/>
      <c r="DE1146" s="35"/>
      <c r="FR1146" s="35" t="s">
        <v>877</v>
      </c>
      <c r="FT1146" s="87">
        <v>53</v>
      </c>
    </row>
    <row r="1147" spans="1:176" s="87" customFormat="1" x14ac:dyDescent="0.25">
      <c r="A1147" s="87">
        <v>53</v>
      </c>
      <c r="B1147" s="87" t="s">
        <v>866</v>
      </c>
      <c r="C1147" s="87" t="s">
        <v>867</v>
      </c>
      <c r="D1147" s="87">
        <v>2006</v>
      </c>
      <c r="E1147" s="87">
        <v>2001</v>
      </c>
      <c r="F1147" s="87" t="s">
        <v>868</v>
      </c>
      <c r="G1147" s="87" t="s">
        <v>869</v>
      </c>
      <c r="H1147" s="87">
        <v>33.950000000000003</v>
      </c>
      <c r="I1147" s="87">
        <v>-83.38</v>
      </c>
      <c r="J1147" s="87">
        <v>208.4</v>
      </c>
      <c r="M1147" s="35">
        <v>748</v>
      </c>
      <c r="N1147" s="35">
        <f t="shared" si="228"/>
        <v>1233</v>
      </c>
      <c r="P1147" s="88">
        <v>2</v>
      </c>
      <c r="Q1147" s="88"/>
      <c r="R1147" s="88" t="s">
        <v>879</v>
      </c>
      <c r="S1147" s="88" t="s">
        <v>1584</v>
      </c>
      <c r="T1147" s="88" t="s">
        <v>1564</v>
      </c>
      <c r="U1147" s="88" t="s">
        <v>1565</v>
      </c>
      <c r="V1147" s="88" t="s">
        <v>1908</v>
      </c>
      <c r="X1147" s="87">
        <f t="shared" si="233"/>
        <v>65</v>
      </c>
      <c r="Y1147" s="87">
        <f>25</f>
        <v>25</v>
      </c>
      <c r="Z1147" s="87" t="s">
        <v>278</v>
      </c>
      <c r="AA1147" s="87">
        <v>6.6</v>
      </c>
      <c r="AB1147" s="87">
        <v>0.88</v>
      </c>
      <c r="AD1147" s="87" t="s">
        <v>1507</v>
      </c>
      <c r="AE1147" s="87" t="s">
        <v>281</v>
      </c>
      <c r="AF1147" s="152" t="s">
        <v>666</v>
      </c>
      <c r="AG1147" s="87" t="s">
        <v>673</v>
      </c>
      <c r="AH1147" s="154" t="s">
        <v>1808</v>
      </c>
      <c r="AI1147" s="35" t="s">
        <v>876</v>
      </c>
      <c r="AJ1147" s="35" t="s">
        <v>876</v>
      </c>
      <c r="AK1147" s="35" t="s">
        <v>212</v>
      </c>
      <c r="AR1147" s="87" t="s">
        <v>147</v>
      </c>
      <c r="AS1147" s="87">
        <v>3</v>
      </c>
      <c r="AT1147" s="87">
        <v>3</v>
      </c>
      <c r="AU1147" s="87" t="s">
        <v>379</v>
      </c>
      <c r="AW1147" s="87">
        <v>2440</v>
      </c>
      <c r="AX1147" s="87">
        <v>12</v>
      </c>
      <c r="BM1147" s="87">
        <v>8.4560000000000013</v>
      </c>
      <c r="BN1147" s="87">
        <v>9.7356000000000016</v>
      </c>
      <c r="BO1147" s="35" t="s">
        <v>546</v>
      </c>
      <c r="BQ1147" s="26"/>
      <c r="DC1147" s="35"/>
      <c r="DE1147" s="35"/>
      <c r="FR1147" s="35" t="s">
        <v>877</v>
      </c>
      <c r="FT1147" s="87">
        <v>53</v>
      </c>
    </row>
    <row r="1148" spans="1:176" s="87" customFormat="1" x14ac:dyDescent="0.25">
      <c r="A1148" s="87">
        <v>53</v>
      </c>
      <c r="B1148" s="87" t="s">
        <v>866</v>
      </c>
      <c r="C1148" s="87" t="s">
        <v>867</v>
      </c>
      <c r="D1148" s="87">
        <v>2006</v>
      </c>
      <c r="E1148" s="87">
        <v>2001</v>
      </c>
      <c r="F1148" s="87" t="s">
        <v>868</v>
      </c>
      <c r="G1148" s="87" t="s">
        <v>869</v>
      </c>
      <c r="H1148" s="87">
        <v>33.950000000000003</v>
      </c>
      <c r="I1148" s="87">
        <v>-83.38</v>
      </c>
      <c r="J1148" s="87">
        <v>208.4</v>
      </c>
      <c r="M1148" s="35">
        <v>748</v>
      </c>
      <c r="N1148" s="35">
        <f t="shared" si="228"/>
        <v>1233</v>
      </c>
      <c r="P1148" s="88">
        <v>2</v>
      </c>
      <c r="Q1148" s="88"/>
      <c r="R1148" s="88" t="s">
        <v>879</v>
      </c>
      <c r="S1148" s="88" t="s">
        <v>1584</v>
      </c>
      <c r="T1148" s="88" t="s">
        <v>1564</v>
      </c>
      <c r="U1148" s="88" t="s">
        <v>1565</v>
      </c>
      <c r="V1148" s="88" t="s">
        <v>1908</v>
      </c>
      <c r="X1148" s="87">
        <f t="shared" si="233"/>
        <v>65</v>
      </c>
      <c r="Y1148" s="87">
        <f>25</f>
        <v>25</v>
      </c>
      <c r="Z1148" s="87" t="s">
        <v>278</v>
      </c>
      <c r="AA1148" s="87">
        <v>6.6</v>
      </c>
      <c r="AB1148" s="87">
        <v>0.88</v>
      </c>
      <c r="AD1148" s="87" t="s">
        <v>1507</v>
      </c>
      <c r="AE1148" s="87" t="s">
        <v>1698</v>
      </c>
      <c r="AF1148" s="152" t="s">
        <v>1762</v>
      </c>
      <c r="AG1148" s="87" t="s">
        <v>673</v>
      </c>
      <c r="AH1148" s="154" t="s">
        <v>1808</v>
      </c>
      <c r="AI1148" s="35" t="s">
        <v>876</v>
      </c>
      <c r="AJ1148" s="35" t="s">
        <v>876</v>
      </c>
      <c r="AK1148" s="35" t="s">
        <v>212</v>
      </c>
      <c r="AR1148" s="87" t="s">
        <v>147</v>
      </c>
      <c r="AS1148" s="87">
        <v>3</v>
      </c>
      <c r="AT1148" s="87">
        <v>3</v>
      </c>
      <c r="AU1148" s="87" t="s">
        <v>379</v>
      </c>
      <c r="AW1148" s="87">
        <v>5980</v>
      </c>
      <c r="AX1148" s="87">
        <v>32</v>
      </c>
      <c r="BM1148" s="87">
        <v>8.4560000000000013</v>
      </c>
      <c r="BN1148" s="87">
        <v>9.0944000000000003</v>
      </c>
      <c r="BO1148" s="35" t="s">
        <v>546</v>
      </c>
      <c r="BQ1148" s="26"/>
      <c r="DC1148" s="35"/>
      <c r="DE1148" s="35"/>
      <c r="FR1148" s="35" t="s">
        <v>877</v>
      </c>
      <c r="FT1148" s="87">
        <v>53</v>
      </c>
    </row>
    <row r="1149" spans="1:176" s="35" customFormat="1" x14ac:dyDescent="0.25">
      <c r="A1149" s="35">
        <v>53</v>
      </c>
      <c r="B1149" s="35" t="s">
        <v>866</v>
      </c>
      <c r="C1149" s="35" t="s">
        <v>867</v>
      </c>
      <c r="D1149" s="35">
        <v>2006</v>
      </c>
      <c r="E1149" s="35">
        <v>2002</v>
      </c>
      <c r="F1149" s="35" t="s">
        <v>868</v>
      </c>
      <c r="G1149" s="35" t="s">
        <v>869</v>
      </c>
      <c r="H1149" s="35">
        <v>33.950000000000003</v>
      </c>
      <c r="I1149" s="35">
        <v>-83.38</v>
      </c>
      <c r="J1149" s="35">
        <v>208.4</v>
      </c>
      <c r="M1149" s="35">
        <v>971</v>
      </c>
      <c r="N1149" s="35">
        <f>588+645</f>
        <v>1233</v>
      </c>
      <c r="P1149" s="54">
        <v>3</v>
      </c>
      <c r="Q1149" s="54"/>
      <c r="R1149" s="54" t="s">
        <v>878</v>
      </c>
      <c r="S1149" s="54" t="s">
        <v>1584</v>
      </c>
      <c r="T1149" s="54" t="s">
        <v>1564</v>
      </c>
      <c r="U1149" s="54" t="s">
        <v>1565</v>
      </c>
      <c r="V1149" s="54" t="s">
        <v>1908</v>
      </c>
      <c r="X1149" s="35">
        <f t="shared" si="233"/>
        <v>65</v>
      </c>
      <c r="Y1149" s="35">
        <f>25</f>
        <v>25</v>
      </c>
      <c r="Z1149" s="35" t="s">
        <v>278</v>
      </c>
      <c r="AA1149" s="35">
        <v>6.6</v>
      </c>
      <c r="AB1149" s="35">
        <v>0.88</v>
      </c>
      <c r="AD1149" s="35" t="s">
        <v>1507</v>
      </c>
      <c r="AE1149" s="35" t="s">
        <v>159</v>
      </c>
      <c r="AF1149" s="152" t="s">
        <v>159</v>
      </c>
      <c r="AG1149" s="35" t="s">
        <v>673</v>
      </c>
      <c r="AH1149" s="154" t="s">
        <v>1808</v>
      </c>
      <c r="AI1149" s="35" t="s">
        <v>876</v>
      </c>
      <c r="AJ1149" s="35" t="s">
        <v>876</v>
      </c>
      <c r="AK1149" s="35" t="s">
        <v>212</v>
      </c>
      <c r="AR1149" s="35" t="s">
        <v>147</v>
      </c>
      <c r="AS1149" s="35">
        <v>3</v>
      </c>
      <c r="AT1149" s="35">
        <v>3</v>
      </c>
      <c r="AU1149" s="35" t="s">
        <v>379</v>
      </c>
      <c r="AW1149" s="35">
        <v>2280</v>
      </c>
      <c r="AX1149" s="35">
        <v>40</v>
      </c>
      <c r="BM1149" s="35">
        <v>7.7588000000000008</v>
      </c>
      <c r="BN1149" s="35">
        <v>7.7560000000000002</v>
      </c>
      <c r="BO1149" s="35" t="s">
        <v>546</v>
      </c>
      <c r="BQ1149" s="26"/>
      <c r="FR1149" s="35" t="s">
        <v>877</v>
      </c>
      <c r="FT1149" s="35">
        <v>53</v>
      </c>
    </row>
    <row r="1150" spans="1:176" s="35" customFormat="1" x14ac:dyDescent="0.25">
      <c r="A1150" s="35">
        <v>53</v>
      </c>
      <c r="B1150" s="35" t="s">
        <v>866</v>
      </c>
      <c r="C1150" s="35" t="s">
        <v>867</v>
      </c>
      <c r="D1150" s="35">
        <v>2006</v>
      </c>
      <c r="E1150" s="35">
        <v>2002</v>
      </c>
      <c r="F1150" s="35" t="s">
        <v>868</v>
      </c>
      <c r="G1150" s="35" t="s">
        <v>869</v>
      </c>
      <c r="H1150" s="35">
        <v>33.950000000000003</v>
      </c>
      <c r="I1150" s="35">
        <v>-83.38</v>
      </c>
      <c r="J1150" s="35">
        <v>208.4</v>
      </c>
      <c r="M1150" s="35">
        <v>971</v>
      </c>
      <c r="N1150" s="35">
        <f t="shared" si="228"/>
        <v>1233</v>
      </c>
      <c r="P1150" s="54">
        <v>3</v>
      </c>
      <c r="Q1150" s="54"/>
      <c r="R1150" s="54" t="s">
        <v>878</v>
      </c>
      <c r="S1150" s="54" t="s">
        <v>1584</v>
      </c>
      <c r="T1150" s="54" t="s">
        <v>1564</v>
      </c>
      <c r="U1150" s="54" t="s">
        <v>1565</v>
      </c>
      <c r="V1150" s="54" t="s">
        <v>1908</v>
      </c>
      <c r="X1150" s="35">
        <f t="shared" si="233"/>
        <v>65</v>
      </c>
      <c r="Y1150" s="35">
        <f>25</f>
        <v>25</v>
      </c>
      <c r="Z1150" s="35" t="s">
        <v>278</v>
      </c>
      <c r="AA1150" s="35">
        <v>6.6</v>
      </c>
      <c r="AB1150" s="35">
        <v>0.88</v>
      </c>
      <c r="AD1150" s="35" t="s">
        <v>1507</v>
      </c>
      <c r="AE1150" s="35" t="s">
        <v>281</v>
      </c>
      <c r="AF1150" s="152" t="s">
        <v>666</v>
      </c>
      <c r="AG1150" s="35" t="s">
        <v>673</v>
      </c>
      <c r="AH1150" s="154" t="s">
        <v>1808</v>
      </c>
      <c r="AI1150" s="35" t="s">
        <v>876</v>
      </c>
      <c r="AJ1150" s="35" t="s">
        <v>876</v>
      </c>
      <c r="AK1150" s="35" t="s">
        <v>212</v>
      </c>
      <c r="AR1150" s="35" t="s">
        <v>147</v>
      </c>
      <c r="AS1150" s="35">
        <v>3</v>
      </c>
      <c r="AT1150" s="35">
        <v>3</v>
      </c>
      <c r="AU1150" s="35" t="s">
        <v>379</v>
      </c>
      <c r="AW1150" s="35">
        <v>5160</v>
      </c>
      <c r="AX1150" s="35">
        <v>10</v>
      </c>
      <c r="BM1150" s="35">
        <v>7.7588000000000008</v>
      </c>
      <c r="BN1150" s="35">
        <v>9.5872000000000011</v>
      </c>
      <c r="BO1150" s="35" t="s">
        <v>546</v>
      </c>
      <c r="BQ1150" s="26"/>
      <c r="FR1150" s="35" t="s">
        <v>877</v>
      </c>
      <c r="FT1150" s="35">
        <v>53</v>
      </c>
    </row>
    <row r="1151" spans="1:176" s="35" customFormat="1" x14ac:dyDescent="0.25">
      <c r="A1151" s="35">
        <v>53</v>
      </c>
      <c r="B1151" s="35" t="s">
        <v>866</v>
      </c>
      <c r="C1151" s="35" t="s">
        <v>867</v>
      </c>
      <c r="D1151" s="35">
        <v>2006</v>
      </c>
      <c r="E1151" s="35">
        <v>2002</v>
      </c>
      <c r="F1151" s="35" t="s">
        <v>868</v>
      </c>
      <c r="G1151" s="35" t="s">
        <v>869</v>
      </c>
      <c r="H1151" s="35">
        <v>33.950000000000003</v>
      </c>
      <c r="I1151" s="35">
        <v>-83.38</v>
      </c>
      <c r="J1151" s="35">
        <v>208.4</v>
      </c>
      <c r="M1151" s="35">
        <v>971</v>
      </c>
      <c r="N1151" s="35">
        <f t="shared" ref="N1151:N1154" si="235">588+645</f>
        <v>1233</v>
      </c>
      <c r="P1151" s="54">
        <v>3</v>
      </c>
      <c r="Q1151" s="54"/>
      <c r="R1151" s="54" t="s">
        <v>878</v>
      </c>
      <c r="S1151" s="54" t="s">
        <v>1584</v>
      </c>
      <c r="T1151" s="54" t="s">
        <v>1564</v>
      </c>
      <c r="U1151" s="54" t="s">
        <v>1565</v>
      </c>
      <c r="V1151" s="54" t="s">
        <v>1908</v>
      </c>
      <c r="X1151" s="35">
        <f t="shared" si="233"/>
        <v>65</v>
      </c>
      <c r="Y1151" s="35">
        <f>25</f>
        <v>25</v>
      </c>
      <c r="Z1151" s="35" t="s">
        <v>278</v>
      </c>
      <c r="AA1151" s="35">
        <v>6.6</v>
      </c>
      <c r="AB1151" s="35">
        <v>0.88</v>
      </c>
      <c r="AD1151" s="35" t="s">
        <v>1507</v>
      </c>
      <c r="AE1151" s="35" t="s">
        <v>1698</v>
      </c>
      <c r="AF1151" s="152" t="s">
        <v>1762</v>
      </c>
      <c r="AG1151" s="35" t="s">
        <v>673</v>
      </c>
      <c r="AH1151" s="154" t="s">
        <v>1808</v>
      </c>
      <c r="AI1151" s="35" t="s">
        <v>876</v>
      </c>
      <c r="AJ1151" s="35" t="s">
        <v>876</v>
      </c>
      <c r="AK1151" s="35" t="s">
        <v>212</v>
      </c>
      <c r="AR1151" s="35" t="s">
        <v>147</v>
      </c>
      <c r="AS1151" s="35">
        <v>3</v>
      </c>
      <c r="AT1151" s="35">
        <v>3</v>
      </c>
      <c r="AU1151" s="35" t="s">
        <v>379</v>
      </c>
      <c r="AW1151" s="35">
        <v>5720</v>
      </c>
      <c r="AX1151" s="35">
        <v>11</v>
      </c>
      <c r="BM1151" s="35">
        <v>7.7588000000000008</v>
      </c>
      <c r="BN1151" s="35">
        <v>8.6268000000000011</v>
      </c>
      <c r="BO1151" s="35" t="s">
        <v>546</v>
      </c>
      <c r="BQ1151" s="26"/>
      <c r="FR1151" s="35" t="s">
        <v>877</v>
      </c>
      <c r="FT1151" s="35">
        <v>53</v>
      </c>
    </row>
    <row r="1152" spans="1:176" s="87" customFormat="1" x14ac:dyDescent="0.25">
      <c r="A1152" s="87">
        <v>53</v>
      </c>
      <c r="B1152" s="87" t="s">
        <v>866</v>
      </c>
      <c r="C1152" s="87" t="s">
        <v>867</v>
      </c>
      <c r="D1152" s="87">
        <v>2006</v>
      </c>
      <c r="E1152" s="87">
        <v>2002</v>
      </c>
      <c r="F1152" s="87" t="s">
        <v>868</v>
      </c>
      <c r="G1152" s="87" t="s">
        <v>869</v>
      </c>
      <c r="H1152" s="87">
        <v>33.950000000000003</v>
      </c>
      <c r="I1152" s="87">
        <v>-83.38</v>
      </c>
      <c r="J1152" s="87">
        <v>208.4</v>
      </c>
      <c r="M1152" s="35">
        <v>971</v>
      </c>
      <c r="N1152" s="35">
        <f t="shared" si="235"/>
        <v>1233</v>
      </c>
      <c r="P1152" s="88">
        <v>3</v>
      </c>
      <c r="Q1152" s="88"/>
      <c r="R1152" s="88" t="s">
        <v>879</v>
      </c>
      <c r="S1152" s="88" t="s">
        <v>1584</v>
      </c>
      <c r="T1152" s="88" t="s">
        <v>1564</v>
      </c>
      <c r="U1152" s="88" t="s">
        <v>1565</v>
      </c>
      <c r="V1152" s="88" t="s">
        <v>1908</v>
      </c>
      <c r="X1152" s="87">
        <f t="shared" si="233"/>
        <v>65</v>
      </c>
      <c r="Y1152" s="87">
        <f>25</f>
        <v>25</v>
      </c>
      <c r="Z1152" s="87" t="s">
        <v>278</v>
      </c>
      <c r="AA1152" s="87">
        <v>6.6</v>
      </c>
      <c r="AB1152" s="87">
        <v>0.88</v>
      </c>
      <c r="AD1152" s="87" t="s">
        <v>1507</v>
      </c>
      <c r="AE1152" s="87" t="s">
        <v>159</v>
      </c>
      <c r="AF1152" s="152" t="s">
        <v>159</v>
      </c>
      <c r="AG1152" s="87" t="s">
        <v>673</v>
      </c>
      <c r="AH1152" s="154" t="s">
        <v>1808</v>
      </c>
      <c r="AI1152" s="35" t="s">
        <v>876</v>
      </c>
      <c r="AJ1152" s="35" t="s">
        <v>876</v>
      </c>
      <c r="AK1152" s="35" t="s">
        <v>212</v>
      </c>
      <c r="AR1152" s="87" t="s">
        <v>147</v>
      </c>
      <c r="AS1152" s="87">
        <v>3</v>
      </c>
      <c r="AT1152" s="87">
        <v>3</v>
      </c>
      <c r="AU1152" s="87" t="s">
        <v>379</v>
      </c>
      <c r="AW1152" s="87">
        <v>2280</v>
      </c>
      <c r="AX1152" s="87">
        <v>40</v>
      </c>
      <c r="BM1152" s="87">
        <v>11.538800000000002</v>
      </c>
      <c r="BN1152" s="87">
        <v>13.367200000000002</v>
      </c>
      <c r="BO1152" s="35" t="s">
        <v>546</v>
      </c>
      <c r="BQ1152" s="26"/>
      <c r="DC1152" s="35"/>
      <c r="DE1152" s="35"/>
      <c r="FR1152" s="35" t="s">
        <v>877</v>
      </c>
      <c r="FT1152" s="87">
        <v>53</v>
      </c>
    </row>
    <row r="1153" spans="1:176" s="87" customFormat="1" x14ac:dyDescent="0.25">
      <c r="A1153" s="87">
        <v>53</v>
      </c>
      <c r="B1153" s="87" t="s">
        <v>866</v>
      </c>
      <c r="C1153" s="87" t="s">
        <v>867</v>
      </c>
      <c r="D1153" s="87">
        <v>2006</v>
      </c>
      <c r="E1153" s="87">
        <v>2002</v>
      </c>
      <c r="F1153" s="87" t="s">
        <v>868</v>
      </c>
      <c r="G1153" s="87" t="s">
        <v>869</v>
      </c>
      <c r="H1153" s="87">
        <v>33.950000000000003</v>
      </c>
      <c r="I1153" s="87">
        <v>-83.38</v>
      </c>
      <c r="J1153" s="87">
        <v>208.4</v>
      </c>
      <c r="M1153" s="35">
        <v>971</v>
      </c>
      <c r="N1153" s="35">
        <f t="shared" si="235"/>
        <v>1233</v>
      </c>
      <c r="P1153" s="88">
        <v>3</v>
      </c>
      <c r="Q1153" s="88"/>
      <c r="R1153" s="88" t="s">
        <v>879</v>
      </c>
      <c r="S1153" s="88" t="s">
        <v>1584</v>
      </c>
      <c r="T1153" s="88" t="s">
        <v>1564</v>
      </c>
      <c r="U1153" s="88" t="s">
        <v>1565</v>
      </c>
      <c r="V1153" s="88" t="s">
        <v>1908</v>
      </c>
      <c r="X1153" s="87">
        <f t="shared" si="233"/>
        <v>65</v>
      </c>
      <c r="Y1153" s="87">
        <f>25</f>
        <v>25</v>
      </c>
      <c r="Z1153" s="87" t="s">
        <v>278</v>
      </c>
      <c r="AA1153" s="87">
        <v>6.6</v>
      </c>
      <c r="AB1153" s="87">
        <v>0.88</v>
      </c>
      <c r="AD1153" s="87" t="s">
        <v>1507</v>
      </c>
      <c r="AE1153" s="87" t="s">
        <v>281</v>
      </c>
      <c r="AF1153" s="152" t="s">
        <v>666</v>
      </c>
      <c r="AG1153" s="87" t="s">
        <v>673</v>
      </c>
      <c r="AH1153" s="154" t="s">
        <v>1808</v>
      </c>
      <c r="AI1153" s="35" t="s">
        <v>876</v>
      </c>
      <c r="AJ1153" s="35" t="s">
        <v>876</v>
      </c>
      <c r="AK1153" s="35" t="s">
        <v>212</v>
      </c>
      <c r="AR1153" s="87" t="s">
        <v>147</v>
      </c>
      <c r="AS1153" s="87">
        <v>3</v>
      </c>
      <c r="AT1153" s="87">
        <v>3</v>
      </c>
      <c r="AU1153" s="87" t="s">
        <v>379</v>
      </c>
      <c r="AW1153" s="87">
        <v>5160</v>
      </c>
      <c r="AX1153" s="87">
        <v>10</v>
      </c>
      <c r="BM1153" s="87">
        <v>11.538800000000002</v>
      </c>
      <c r="BN1153" s="87">
        <v>12.908000000000001</v>
      </c>
      <c r="BO1153" s="35" t="s">
        <v>546</v>
      </c>
      <c r="BQ1153" s="26"/>
      <c r="DC1153" s="35"/>
      <c r="DE1153" s="35"/>
      <c r="FR1153" s="35" t="s">
        <v>877</v>
      </c>
      <c r="FT1153" s="87">
        <v>53</v>
      </c>
    </row>
    <row r="1154" spans="1:176" s="87" customFormat="1" x14ac:dyDescent="0.25">
      <c r="A1154" s="87">
        <v>53</v>
      </c>
      <c r="B1154" s="87" t="s">
        <v>866</v>
      </c>
      <c r="C1154" s="87" t="s">
        <v>867</v>
      </c>
      <c r="D1154" s="87">
        <v>2006</v>
      </c>
      <c r="E1154" s="87">
        <v>2002</v>
      </c>
      <c r="F1154" s="87" t="s">
        <v>868</v>
      </c>
      <c r="G1154" s="87" t="s">
        <v>869</v>
      </c>
      <c r="H1154" s="87">
        <v>33.950000000000003</v>
      </c>
      <c r="I1154" s="87">
        <v>-83.38</v>
      </c>
      <c r="J1154" s="87">
        <v>208.4</v>
      </c>
      <c r="M1154" s="35">
        <v>971</v>
      </c>
      <c r="N1154" s="35">
        <f t="shared" si="235"/>
        <v>1233</v>
      </c>
      <c r="P1154" s="88">
        <v>3</v>
      </c>
      <c r="Q1154" s="88"/>
      <c r="R1154" s="88" t="s">
        <v>879</v>
      </c>
      <c r="S1154" s="88" t="s">
        <v>1584</v>
      </c>
      <c r="T1154" s="88" t="s">
        <v>1564</v>
      </c>
      <c r="U1154" s="88" t="s">
        <v>1565</v>
      </c>
      <c r="V1154" s="88" t="s">
        <v>1908</v>
      </c>
      <c r="X1154" s="87">
        <f t="shared" si="233"/>
        <v>65</v>
      </c>
      <c r="Y1154" s="87">
        <f>25</f>
        <v>25</v>
      </c>
      <c r="Z1154" s="87" t="s">
        <v>278</v>
      </c>
      <c r="AA1154" s="87">
        <v>6.6</v>
      </c>
      <c r="AB1154" s="87">
        <v>0.88</v>
      </c>
      <c r="AD1154" s="87" t="s">
        <v>1507</v>
      </c>
      <c r="AE1154" s="87" t="s">
        <v>1698</v>
      </c>
      <c r="AF1154" s="152" t="s">
        <v>1762</v>
      </c>
      <c r="AG1154" s="87" t="s">
        <v>673</v>
      </c>
      <c r="AH1154" s="154" t="s">
        <v>1808</v>
      </c>
      <c r="AI1154" s="35" t="s">
        <v>876</v>
      </c>
      <c r="AJ1154" s="35" t="s">
        <v>876</v>
      </c>
      <c r="AK1154" s="35" t="s">
        <v>212</v>
      </c>
      <c r="AR1154" s="87" t="s">
        <v>147</v>
      </c>
      <c r="AS1154" s="87">
        <v>3</v>
      </c>
      <c r="AT1154" s="87">
        <v>3</v>
      </c>
      <c r="AU1154" s="87" t="s">
        <v>379</v>
      </c>
      <c r="AW1154" s="87">
        <v>5720</v>
      </c>
      <c r="AX1154" s="87">
        <v>11</v>
      </c>
      <c r="BM1154" s="87">
        <v>11.538800000000002</v>
      </c>
      <c r="BN1154" s="87">
        <v>12.177200000000001</v>
      </c>
      <c r="BO1154" s="35" t="s">
        <v>546</v>
      </c>
      <c r="BQ1154" s="26"/>
      <c r="DC1154" s="35"/>
      <c r="DE1154" s="35"/>
      <c r="FR1154" s="35" t="s">
        <v>877</v>
      </c>
      <c r="FT1154" s="87">
        <v>53</v>
      </c>
    </row>
    <row r="1155" spans="1:176" x14ac:dyDescent="0.25">
      <c r="A1155" s="46">
        <v>54</v>
      </c>
      <c r="B1155" s="46" t="s">
        <v>880</v>
      </c>
      <c r="C1155" s="46" t="s">
        <v>881</v>
      </c>
      <c r="D1155" s="46">
        <v>2014</v>
      </c>
      <c r="E1155" s="46">
        <v>2012</v>
      </c>
      <c r="F1155" s="46" t="s">
        <v>882</v>
      </c>
      <c r="G1155" s="46" t="s">
        <v>343</v>
      </c>
      <c r="H1155" s="46">
        <v>40.733333333333334</v>
      </c>
      <c r="I1155" s="46">
        <v>-77.95</v>
      </c>
      <c r="J1155" s="46">
        <v>375.2</v>
      </c>
      <c r="S1155" s="81" t="s">
        <v>1553</v>
      </c>
      <c r="T1155" s="81" t="s">
        <v>1553</v>
      </c>
      <c r="U1155" s="81" t="s">
        <v>1553</v>
      </c>
      <c r="V1155" s="81" t="s">
        <v>1553</v>
      </c>
      <c r="Z1155" s="46" t="s">
        <v>531</v>
      </c>
      <c r="AE1155" s="46" t="s">
        <v>159</v>
      </c>
      <c r="AF1155" s="152" t="s">
        <v>159</v>
      </c>
      <c r="AG1155" s="46" t="s">
        <v>190</v>
      </c>
      <c r="AH1155" s="155" t="s">
        <v>1802</v>
      </c>
      <c r="AI1155" s="46" t="s">
        <v>883</v>
      </c>
      <c r="AJ1155" s="46" t="s">
        <v>883</v>
      </c>
      <c r="AK1155" s="46" t="s">
        <v>212</v>
      </c>
      <c r="AR1155" s="46" t="s">
        <v>192</v>
      </c>
      <c r="AZ1155" s="46" t="s">
        <v>884</v>
      </c>
      <c r="BD1155" s="46">
        <v>3100</v>
      </c>
      <c r="BE1155" s="46">
        <v>3100</v>
      </c>
      <c r="FP1155" s="46">
        <v>99999</v>
      </c>
      <c r="FR1155" s="46" t="s">
        <v>885</v>
      </c>
      <c r="FT1155" s="46">
        <v>54</v>
      </c>
    </row>
    <row r="1156" spans="1:176" x14ac:dyDescent="0.25">
      <c r="A1156" s="46">
        <v>54</v>
      </c>
      <c r="B1156" s="46" t="s">
        <v>880</v>
      </c>
      <c r="C1156" s="46" t="s">
        <v>881</v>
      </c>
      <c r="D1156" s="46">
        <v>2014</v>
      </c>
      <c r="E1156" s="46">
        <v>2012</v>
      </c>
      <c r="F1156" s="46" t="s">
        <v>882</v>
      </c>
      <c r="G1156" s="46" t="s">
        <v>343</v>
      </c>
      <c r="H1156" s="46">
        <v>40.733333333333334</v>
      </c>
      <c r="I1156" s="46">
        <v>-77.95</v>
      </c>
      <c r="J1156" s="46">
        <v>375.2</v>
      </c>
      <c r="S1156" s="81" t="s">
        <v>1553</v>
      </c>
      <c r="T1156" s="81" t="s">
        <v>1553</v>
      </c>
      <c r="U1156" s="81" t="s">
        <v>1553</v>
      </c>
      <c r="V1156" s="81" t="s">
        <v>1553</v>
      </c>
      <c r="Z1156" s="46" t="s">
        <v>531</v>
      </c>
      <c r="AE1156" s="46" t="s">
        <v>159</v>
      </c>
      <c r="AF1156" s="152" t="s">
        <v>159</v>
      </c>
      <c r="AG1156" s="46" t="s">
        <v>144</v>
      </c>
      <c r="AH1156" s="155" t="s">
        <v>1802</v>
      </c>
      <c r="AI1156" s="46" t="s">
        <v>883</v>
      </c>
      <c r="AJ1156" s="46" t="s">
        <v>883</v>
      </c>
      <c r="AK1156" s="46" t="s">
        <v>212</v>
      </c>
      <c r="AR1156" s="46" t="s">
        <v>192</v>
      </c>
      <c r="AZ1156" s="46" t="s">
        <v>884</v>
      </c>
      <c r="BD1156" s="46">
        <v>5900</v>
      </c>
      <c r="BE1156" s="46">
        <v>5800</v>
      </c>
      <c r="FP1156" s="46">
        <v>99999</v>
      </c>
      <c r="FR1156" s="46" t="s">
        <v>885</v>
      </c>
      <c r="FT1156" s="46">
        <v>54</v>
      </c>
    </row>
    <row r="1157" spans="1:176" x14ac:dyDescent="0.25">
      <c r="A1157" s="46">
        <v>54</v>
      </c>
      <c r="B1157" s="46" t="s">
        <v>880</v>
      </c>
      <c r="C1157" s="46" t="s">
        <v>881</v>
      </c>
      <c r="D1157" s="46">
        <v>2014</v>
      </c>
      <c r="E1157" s="46">
        <v>2012</v>
      </c>
      <c r="F1157" s="46" t="s">
        <v>882</v>
      </c>
      <c r="G1157" s="46" t="s">
        <v>343</v>
      </c>
      <c r="H1157" s="46">
        <v>40.733333333333334</v>
      </c>
      <c r="I1157" s="46">
        <v>-77.95</v>
      </c>
      <c r="J1157" s="46">
        <v>375.2</v>
      </c>
      <c r="S1157" s="81" t="s">
        <v>1553</v>
      </c>
      <c r="T1157" s="81" t="s">
        <v>1553</v>
      </c>
      <c r="U1157" s="81" t="s">
        <v>1553</v>
      </c>
      <c r="V1157" s="81" t="s">
        <v>1553</v>
      </c>
      <c r="Z1157" s="46" t="s">
        <v>531</v>
      </c>
      <c r="AE1157" s="46" t="s">
        <v>159</v>
      </c>
      <c r="AF1157" s="152" t="s">
        <v>159</v>
      </c>
      <c r="AG1157" s="46" t="s">
        <v>160</v>
      </c>
      <c r="AH1157" s="155" t="s">
        <v>1802</v>
      </c>
      <c r="AI1157" s="46" t="s">
        <v>883</v>
      </c>
      <c r="AJ1157" s="46" t="s">
        <v>883</v>
      </c>
      <c r="AK1157" s="46" t="s">
        <v>212</v>
      </c>
      <c r="AR1157" s="46" t="s">
        <v>192</v>
      </c>
      <c r="AZ1157" s="46" t="s">
        <v>884</v>
      </c>
      <c r="BD1157" s="46">
        <v>8200</v>
      </c>
      <c r="BE1157" s="46">
        <v>8100</v>
      </c>
      <c r="FP1157" s="46">
        <v>99999</v>
      </c>
      <c r="FR1157" s="46" t="s">
        <v>885</v>
      </c>
      <c r="FT1157" s="46">
        <v>54</v>
      </c>
    </row>
    <row r="1158" spans="1:176" s="26" customFormat="1" x14ac:dyDescent="0.25">
      <c r="A1158" s="26">
        <v>55</v>
      </c>
      <c r="B1158" s="26" t="s">
        <v>886</v>
      </c>
      <c r="C1158" s="26" t="s">
        <v>887</v>
      </c>
      <c r="D1158" s="26">
        <v>2001</v>
      </c>
      <c r="E1158" s="26">
        <v>1997</v>
      </c>
      <c r="F1158" s="26" t="s">
        <v>892</v>
      </c>
      <c r="G1158" s="26" t="s">
        <v>888</v>
      </c>
      <c r="H1158" s="26">
        <v>45.23</v>
      </c>
      <c r="I1158" s="26">
        <v>-122.756</v>
      </c>
      <c r="J1158" s="26">
        <v>48.4</v>
      </c>
      <c r="P1158" s="52">
        <v>1</v>
      </c>
      <c r="Q1158" s="52"/>
      <c r="R1158" s="52"/>
      <c r="S1158" s="52" t="s">
        <v>1556</v>
      </c>
      <c r="T1158" s="52" t="s">
        <v>1556</v>
      </c>
      <c r="U1158" s="52" t="s">
        <v>1556</v>
      </c>
      <c r="V1158" s="52" t="s">
        <v>1904</v>
      </c>
      <c r="X1158" s="26">
        <v>28</v>
      </c>
      <c r="Y1158" s="26">
        <v>54</v>
      </c>
      <c r="Z1158" s="26" t="s">
        <v>531</v>
      </c>
      <c r="AA1158" s="26">
        <v>5.4</v>
      </c>
      <c r="AB1158" s="26">
        <v>1.71</v>
      </c>
      <c r="AD1158" s="26" t="s">
        <v>1508</v>
      </c>
      <c r="AE1158" s="26" t="s">
        <v>889</v>
      </c>
      <c r="AF1158" s="152" t="s">
        <v>1761</v>
      </c>
      <c r="AG1158" s="26" t="s">
        <v>726</v>
      </c>
      <c r="AH1158" s="154" t="s">
        <v>1806</v>
      </c>
      <c r="AI1158" s="26" t="s">
        <v>896</v>
      </c>
      <c r="AJ1158" s="26" t="s">
        <v>896</v>
      </c>
      <c r="AK1158" s="26" t="s">
        <v>212</v>
      </c>
      <c r="AR1158" s="26" t="s">
        <v>147</v>
      </c>
      <c r="AS1158" s="26">
        <v>4</v>
      </c>
      <c r="AT1158" s="26">
        <v>4</v>
      </c>
      <c r="AU1158" s="26" t="s">
        <v>169</v>
      </c>
      <c r="EA1158" s="26">
        <v>0.96</v>
      </c>
      <c r="EB1158" s="26">
        <v>1.1200000000000001</v>
      </c>
      <c r="EC1158" s="26" t="s">
        <v>900</v>
      </c>
      <c r="FR1158" s="26" t="s">
        <v>901</v>
      </c>
      <c r="FT1158" s="26">
        <v>55</v>
      </c>
    </row>
    <row r="1159" spans="1:176" s="26" customFormat="1" x14ac:dyDescent="0.25">
      <c r="A1159" s="26">
        <v>55</v>
      </c>
      <c r="B1159" s="26" t="s">
        <v>886</v>
      </c>
      <c r="C1159" s="26" t="s">
        <v>887</v>
      </c>
      <c r="D1159" s="26">
        <v>2001</v>
      </c>
      <c r="E1159" s="26">
        <v>1997</v>
      </c>
      <c r="F1159" s="26" t="s">
        <v>892</v>
      </c>
      <c r="G1159" s="26" t="s">
        <v>888</v>
      </c>
      <c r="H1159" s="26">
        <v>45.23</v>
      </c>
      <c r="I1159" s="26">
        <v>-122.756</v>
      </c>
      <c r="J1159" s="26">
        <v>48.4</v>
      </c>
      <c r="P1159" s="52">
        <v>1</v>
      </c>
      <c r="Q1159" s="52"/>
      <c r="R1159" s="52"/>
      <c r="S1159" s="52" t="s">
        <v>1556</v>
      </c>
      <c r="T1159" s="52" t="s">
        <v>1556</v>
      </c>
      <c r="U1159" s="52" t="s">
        <v>1556</v>
      </c>
      <c r="V1159" s="52" t="s">
        <v>1904</v>
      </c>
      <c r="X1159" s="26">
        <v>28</v>
      </c>
      <c r="Y1159" s="26">
        <v>54</v>
      </c>
      <c r="Z1159" s="26" t="s">
        <v>531</v>
      </c>
      <c r="AA1159" s="26">
        <v>5.4</v>
      </c>
      <c r="AB1159" s="26">
        <v>1.71</v>
      </c>
      <c r="AD1159" s="26" t="s">
        <v>1508</v>
      </c>
      <c r="AE1159" s="26" t="s">
        <v>1758</v>
      </c>
      <c r="AF1159" s="152" t="s">
        <v>1762</v>
      </c>
      <c r="AG1159" s="26" t="s">
        <v>726</v>
      </c>
      <c r="AH1159" s="154" t="s">
        <v>1806</v>
      </c>
      <c r="AI1159" s="26" t="s">
        <v>896</v>
      </c>
      <c r="AJ1159" s="26" t="s">
        <v>896</v>
      </c>
      <c r="AK1159" s="26" t="s">
        <v>212</v>
      </c>
      <c r="AR1159" s="26" t="s">
        <v>147</v>
      </c>
      <c r="AS1159" s="26">
        <v>4</v>
      </c>
      <c r="AT1159" s="26">
        <v>4</v>
      </c>
      <c r="AU1159" s="26" t="s">
        <v>169</v>
      </c>
      <c r="EA1159" s="26">
        <v>0.96</v>
      </c>
      <c r="EB1159" s="26">
        <v>0.84</v>
      </c>
      <c r="EC1159" s="26" t="s">
        <v>900</v>
      </c>
      <c r="FR1159" s="26" t="s">
        <v>901</v>
      </c>
      <c r="FT1159" s="26">
        <v>55</v>
      </c>
    </row>
    <row r="1160" spans="1:176" s="47" customFormat="1" x14ac:dyDescent="0.25">
      <c r="A1160" s="47">
        <v>55</v>
      </c>
      <c r="B1160" s="47" t="s">
        <v>886</v>
      </c>
      <c r="C1160" s="47" t="s">
        <v>887</v>
      </c>
      <c r="D1160" s="47">
        <v>2001</v>
      </c>
      <c r="E1160" s="47">
        <v>1997</v>
      </c>
      <c r="F1160" s="47" t="s">
        <v>892</v>
      </c>
      <c r="G1160" s="47" t="s">
        <v>893</v>
      </c>
      <c r="H1160" s="47">
        <v>44.56</v>
      </c>
      <c r="I1160" s="47">
        <v>-123.26</v>
      </c>
      <c r="J1160" s="47">
        <v>59.6</v>
      </c>
      <c r="P1160" s="82">
        <v>1</v>
      </c>
      <c r="Q1160" s="82"/>
      <c r="R1160" s="82"/>
      <c r="S1160" s="82" t="s">
        <v>1556</v>
      </c>
      <c r="T1160" s="82" t="s">
        <v>1556</v>
      </c>
      <c r="U1160" s="82" t="s">
        <v>1556</v>
      </c>
      <c r="V1160" s="82" t="s">
        <v>1904</v>
      </c>
      <c r="X1160" s="47">
        <v>22</v>
      </c>
      <c r="Y1160" s="47">
        <v>52</v>
      </c>
      <c r="Z1160" s="47" t="s">
        <v>531</v>
      </c>
      <c r="AA1160" s="47">
        <v>5.9</v>
      </c>
      <c r="AB1160" s="47">
        <v>1.65</v>
      </c>
      <c r="AD1160" s="47" t="s">
        <v>1508</v>
      </c>
      <c r="AE1160" s="47" t="s">
        <v>1758</v>
      </c>
      <c r="AF1160" s="152" t="s">
        <v>1762</v>
      </c>
      <c r="AG1160" s="47" t="s">
        <v>895</v>
      </c>
      <c r="AH1160" s="154" t="s">
        <v>1806</v>
      </c>
      <c r="AI1160" s="47" t="s">
        <v>897</v>
      </c>
      <c r="AJ1160" s="47" t="s">
        <v>897</v>
      </c>
      <c r="AK1160" s="47" t="s">
        <v>212</v>
      </c>
      <c r="AR1160" s="47" t="s">
        <v>147</v>
      </c>
      <c r="AS1160" s="47">
        <v>4</v>
      </c>
      <c r="AT1160" s="47">
        <v>4</v>
      </c>
      <c r="AU1160" s="47" t="s">
        <v>169</v>
      </c>
      <c r="EA1160" s="47">
        <v>1.74</v>
      </c>
      <c r="EB1160" s="47">
        <v>4.7699999999999996</v>
      </c>
      <c r="EC1160" s="47" t="s">
        <v>900</v>
      </c>
      <c r="FR1160" s="47" t="s">
        <v>901</v>
      </c>
      <c r="FT1160" s="47">
        <v>55</v>
      </c>
    </row>
    <row r="1161" spans="1:176" s="26" customFormat="1" x14ac:dyDescent="0.25">
      <c r="A1161" s="26">
        <v>55</v>
      </c>
      <c r="B1161" s="26" t="s">
        <v>886</v>
      </c>
      <c r="C1161" s="26" t="s">
        <v>887</v>
      </c>
      <c r="D1161" s="26">
        <v>2001</v>
      </c>
      <c r="E1161" s="26">
        <v>1997</v>
      </c>
      <c r="F1161" s="26" t="s">
        <v>892</v>
      </c>
      <c r="G1161" s="26" t="s">
        <v>890</v>
      </c>
      <c r="H1161" s="26">
        <v>44.94</v>
      </c>
      <c r="I1161" s="26">
        <v>-123.04</v>
      </c>
      <c r="J1161" s="26">
        <v>49.3</v>
      </c>
      <c r="P1161" s="52">
        <v>1</v>
      </c>
      <c r="Q1161" s="52"/>
      <c r="R1161" s="52"/>
      <c r="S1161" s="52" t="s">
        <v>1556</v>
      </c>
      <c r="T1161" s="52" t="s">
        <v>1556</v>
      </c>
      <c r="U1161" s="52" t="s">
        <v>1556</v>
      </c>
      <c r="V1161" s="52" t="s">
        <v>1904</v>
      </c>
      <c r="X1161" s="26">
        <v>46</v>
      </c>
      <c r="Y1161" s="26">
        <v>38</v>
      </c>
      <c r="Z1161" s="26" t="s">
        <v>695</v>
      </c>
      <c r="AA1161" s="26">
        <v>6.2</v>
      </c>
      <c r="AB1161" s="26">
        <v>2.02</v>
      </c>
      <c r="AD1161" s="26" t="s">
        <v>1508</v>
      </c>
      <c r="AE1161" s="26" t="s">
        <v>1758</v>
      </c>
      <c r="AF1161" s="152" t="s">
        <v>1762</v>
      </c>
      <c r="AG1161" s="26" t="s">
        <v>895</v>
      </c>
      <c r="AH1161" s="154" t="s">
        <v>1806</v>
      </c>
      <c r="AI1161" s="26" t="s">
        <v>898</v>
      </c>
      <c r="AJ1161" s="26" t="s">
        <v>898</v>
      </c>
      <c r="AK1161" s="26" t="s">
        <v>212</v>
      </c>
      <c r="AR1161" s="26" t="s">
        <v>147</v>
      </c>
      <c r="AS1161" s="26">
        <v>4</v>
      </c>
      <c r="AT1161" s="26">
        <v>4</v>
      </c>
      <c r="AU1161" s="26" t="s">
        <v>169</v>
      </c>
      <c r="EA1161" s="26">
        <v>0.35</v>
      </c>
      <c r="EB1161" s="26">
        <v>1.34</v>
      </c>
      <c r="EC1161" s="26" t="s">
        <v>900</v>
      </c>
      <c r="FR1161" s="26" t="s">
        <v>901</v>
      </c>
      <c r="FT1161" s="26">
        <v>55</v>
      </c>
    </row>
    <row r="1162" spans="1:176" s="47" customFormat="1" x14ac:dyDescent="0.25">
      <c r="A1162" s="47">
        <v>55</v>
      </c>
      <c r="B1162" s="47" t="s">
        <v>886</v>
      </c>
      <c r="C1162" s="47" t="s">
        <v>887</v>
      </c>
      <c r="D1162" s="47">
        <v>2001</v>
      </c>
      <c r="E1162" s="47">
        <v>1997</v>
      </c>
      <c r="F1162" s="47" t="s">
        <v>892</v>
      </c>
      <c r="G1162" s="47" t="s">
        <v>891</v>
      </c>
      <c r="H1162" s="47">
        <v>45.01</v>
      </c>
      <c r="I1162" s="47">
        <v>-122.78</v>
      </c>
      <c r="J1162" s="47">
        <v>78.5</v>
      </c>
      <c r="P1162" s="82">
        <v>1</v>
      </c>
      <c r="Q1162" s="82"/>
      <c r="R1162" s="82"/>
      <c r="S1162" s="82" t="s">
        <v>1556</v>
      </c>
      <c r="T1162" s="82" t="s">
        <v>1556</v>
      </c>
      <c r="U1162" s="82" t="s">
        <v>1556</v>
      </c>
      <c r="V1162" s="82" t="s">
        <v>1904</v>
      </c>
      <c r="X1162" s="47">
        <v>7</v>
      </c>
      <c r="Y1162" s="47">
        <v>67</v>
      </c>
      <c r="Z1162" s="47" t="s">
        <v>894</v>
      </c>
      <c r="AA1162" s="47">
        <v>5.9</v>
      </c>
      <c r="AB1162" s="47">
        <v>1.77</v>
      </c>
      <c r="AD1162" s="47" t="s">
        <v>1508</v>
      </c>
      <c r="AE1162" s="47" t="s">
        <v>1758</v>
      </c>
      <c r="AF1162" s="152" t="s">
        <v>1762</v>
      </c>
      <c r="AG1162" s="47" t="s">
        <v>725</v>
      </c>
      <c r="AH1162" s="154" t="s">
        <v>1806</v>
      </c>
      <c r="AI1162" s="47" t="s">
        <v>899</v>
      </c>
      <c r="AJ1162" s="47" t="s">
        <v>899</v>
      </c>
      <c r="AK1162" s="47" t="s">
        <v>212</v>
      </c>
      <c r="AR1162" s="47" t="s">
        <v>147</v>
      </c>
      <c r="AS1162" s="47">
        <v>4</v>
      </c>
      <c r="AT1162" s="47">
        <v>4</v>
      </c>
      <c r="AU1162" s="47" t="s">
        <v>169</v>
      </c>
      <c r="EA1162" s="47">
        <v>3.23</v>
      </c>
      <c r="EB1162" s="47">
        <v>3.89</v>
      </c>
      <c r="EC1162" s="47" t="s">
        <v>900</v>
      </c>
      <c r="FR1162" s="47" t="s">
        <v>901</v>
      </c>
      <c r="FT1162" s="47">
        <v>55</v>
      </c>
    </row>
    <row r="1163" spans="1:176" s="26" customFormat="1" x14ac:dyDescent="0.25">
      <c r="A1163" s="26">
        <v>55</v>
      </c>
      <c r="B1163" s="26" t="s">
        <v>886</v>
      </c>
      <c r="C1163" s="26" t="s">
        <v>887</v>
      </c>
      <c r="D1163" s="26">
        <v>2001</v>
      </c>
      <c r="E1163" s="26">
        <v>1998</v>
      </c>
      <c r="F1163" s="26" t="s">
        <v>892</v>
      </c>
      <c r="G1163" s="26" t="s">
        <v>893</v>
      </c>
      <c r="H1163" s="26">
        <v>44.56</v>
      </c>
      <c r="I1163" s="26">
        <v>-123.26</v>
      </c>
      <c r="J1163" s="26">
        <v>59.6</v>
      </c>
      <c r="P1163" s="52">
        <v>2</v>
      </c>
      <c r="Q1163" s="52"/>
      <c r="R1163" s="52" t="s">
        <v>748</v>
      </c>
      <c r="S1163" s="52" t="s">
        <v>1556</v>
      </c>
      <c r="T1163" s="52" t="s">
        <v>1556</v>
      </c>
      <c r="U1163" s="52" t="s">
        <v>1556</v>
      </c>
      <c r="V1163" s="52" t="s">
        <v>1904</v>
      </c>
      <c r="X1163" s="26">
        <v>22</v>
      </c>
      <c r="Y1163" s="26">
        <v>52</v>
      </c>
      <c r="Z1163" s="26" t="s">
        <v>531</v>
      </c>
      <c r="AA1163" s="26">
        <v>5.9</v>
      </c>
      <c r="AB1163" s="26">
        <v>1.65</v>
      </c>
      <c r="AD1163" s="26" t="s">
        <v>1508</v>
      </c>
      <c r="AE1163" s="26" t="s">
        <v>1758</v>
      </c>
      <c r="AF1163" s="152" t="s">
        <v>1762</v>
      </c>
      <c r="AG1163" s="26" t="s">
        <v>902</v>
      </c>
      <c r="AH1163" s="154" t="s">
        <v>1806</v>
      </c>
      <c r="AI1163" s="26" t="s">
        <v>897</v>
      </c>
      <c r="AJ1163" s="26" t="s">
        <v>897</v>
      </c>
      <c r="AK1163" s="26" t="s">
        <v>212</v>
      </c>
      <c r="AR1163" s="26" t="s">
        <v>147</v>
      </c>
      <c r="AS1163" s="26">
        <v>4</v>
      </c>
      <c r="AT1163" s="26">
        <v>4</v>
      </c>
      <c r="AU1163" s="26" t="s">
        <v>169</v>
      </c>
      <c r="EA1163" s="26">
        <v>9.15</v>
      </c>
      <c r="EB1163" s="26">
        <v>15.2</v>
      </c>
      <c r="EC1163" s="26" t="s">
        <v>900</v>
      </c>
      <c r="FR1163" s="26" t="s">
        <v>901</v>
      </c>
      <c r="FT1163" s="26">
        <v>55</v>
      </c>
    </row>
    <row r="1164" spans="1:176" s="26" customFormat="1" x14ac:dyDescent="0.25">
      <c r="A1164" s="26">
        <v>55</v>
      </c>
      <c r="B1164" s="26" t="s">
        <v>886</v>
      </c>
      <c r="C1164" s="26" t="s">
        <v>887</v>
      </c>
      <c r="D1164" s="26">
        <v>2001</v>
      </c>
      <c r="E1164" s="26">
        <v>1998</v>
      </c>
      <c r="F1164" s="26" t="s">
        <v>892</v>
      </c>
      <c r="G1164" s="26" t="s">
        <v>893</v>
      </c>
      <c r="H1164" s="26">
        <v>44.56</v>
      </c>
      <c r="I1164" s="26">
        <v>-123.26</v>
      </c>
      <c r="J1164" s="26">
        <v>59.6</v>
      </c>
      <c r="P1164" s="52">
        <v>2</v>
      </c>
      <c r="Q1164" s="52"/>
      <c r="R1164" s="52" t="s">
        <v>747</v>
      </c>
      <c r="S1164" s="52" t="s">
        <v>1556</v>
      </c>
      <c r="T1164" s="52" t="s">
        <v>1556</v>
      </c>
      <c r="U1164" s="52" t="s">
        <v>1556</v>
      </c>
      <c r="V1164" s="52" t="s">
        <v>1904</v>
      </c>
      <c r="X1164" s="26">
        <v>22</v>
      </c>
      <c r="Y1164" s="26">
        <v>52</v>
      </c>
      <c r="Z1164" s="26" t="s">
        <v>531</v>
      </c>
      <c r="AA1164" s="26">
        <v>5.9</v>
      </c>
      <c r="AB1164" s="26">
        <v>1.65</v>
      </c>
      <c r="AD1164" s="26" t="s">
        <v>1508</v>
      </c>
      <c r="AE1164" s="26" t="s">
        <v>1758</v>
      </c>
      <c r="AF1164" s="152" t="s">
        <v>1762</v>
      </c>
      <c r="AG1164" s="26" t="s">
        <v>902</v>
      </c>
      <c r="AH1164" s="154" t="s">
        <v>1806</v>
      </c>
      <c r="AI1164" s="26" t="s">
        <v>897</v>
      </c>
      <c r="AJ1164" s="26" t="s">
        <v>897</v>
      </c>
      <c r="AK1164" s="26" t="s">
        <v>212</v>
      </c>
      <c r="AR1164" s="26" t="s">
        <v>147</v>
      </c>
      <c r="AS1164" s="26">
        <v>4</v>
      </c>
      <c r="AT1164" s="26">
        <v>4</v>
      </c>
      <c r="AU1164" s="26" t="s">
        <v>169</v>
      </c>
      <c r="EA1164" s="26">
        <v>3.58</v>
      </c>
      <c r="EB1164" s="26">
        <v>6.58</v>
      </c>
      <c r="EC1164" s="26" t="s">
        <v>900</v>
      </c>
      <c r="FR1164" s="26" t="s">
        <v>901</v>
      </c>
      <c r="FT1164" s="26">
        <v>55</v>
      </c>
    </row>
    <row r="1165" spans="1:176" s="26" customFormat="1" x14ac:dyDescent="0.25">
      <c r="A1165" s="26">
        <v>55</v>
      </c>
      <c r="B1165" s="26" t="s">
        <v>886</v>
      </c>
      <c r="C1165" s="26" t="s">
        <v>887</v>
      </c>
      <c r="D1165" s="26">
        <v>2001</v>
      </c>
      <c r="E1165" s="26">
        <v>1998</v>
      </c>
      <c r="F1165" s="26" t="s">
        <v>892</v>
      </c>
      <c r="G1165" s="26" t="s">
        <v>893</v>
      </c>
      <c r="H1165" s="26">
        <v>44.56</v>
      </c>
      <c r="I1165" s="26">
        <v>-123.26</v>
      </c>
      <c r="J1165" s="26">
        <v>59.6</v>
      </c>
      <c r="P1165" s="52">
        <v>2</v>
      </c>
      <c r="Q1165" s="52"/>
      <c r="R1165" s="52" t="s">
        <v>749</v>
      </c>
      <c r="S1165" s="52" t="s">
        <v>1556</v>
      </c>
      <c r="T1165" s="52" t="s">
        <v>1556</v>
      </c>
      <c r="U1165" s="52" t="s">
        <v>1556</v>
      </c>
      <c r="V1165" s="52" t="s">
        <v>1904</v>
      </c>
      <c r="X1165" s="26">
        <v>22</v>
      </c>
      <c r="Y1165" s="26">
        <v>52</v>
      </c>
      <c r="Z1165" s="26" t="s">
        <v>531</v>
      </c>
      <c r="AA1165" s="26">
        <v>5.9</v>
      </c>
      <c r="AB1165" s="26">
        <v>1.65</v>
      </c>
      <c r="AD1165" s="26" t="s">
        <v>1508</v>
      </c>
      <c r="AE1165" s="26" t="s">
        <v>1758</v>
      </c>
      <c r="AF1165" s="152" t="s">
        <v>1762</v>
      </c>
      <c r="AG1165" s="26" t="s">
        <v>902</v>
      </c>
      <c r="AH1165" s="154" t="s">
        <v>1806</v>
      </c>
      <c r="AI1165" s="26" t="s">
        <v>897</v>
      </c>
      <c r="AJ1165" s="26" t="s">
        <v>897</v>
      </c>
      <c r="AK1165" s="26" t="s">
        <v>212</v>
      </c>
      <c r="AR1165" s="26" t="s">
        <v>147</v>
      </c>
      <c r="AS1165" s="26">
        <v>4</v>
      </c>
      <c r="AT1165" s="26">
        <v>4</v>
      </c>
      <c r="AU1165" s="26" t="s">
        <v>169</v>
      </c>
      <c r="EA1165" s="26">
        <v>1.95</v>
      </c>
      <c r="EB1165" s="26">
        <v>3.05</v>
      </c>
      <c r="EC1165" s="26" t="s">
        <v>900</v>
      </c>
      <c r="FR1165" s="26" t="s">
        <v>901</v>
      </c>
      <c r="FT1165" s="26">
        <v>55</v>
      </c>
    </row>
    <row r="1166" spans="1:176" s="35" customFormat="1" x14ac:dyDescent="0.25">
      <c r="A1166" s="35">
        <v>55</v>
      </c>
      <c r="B1166" s="35" t="s">
        <v>886</v>
      </c>
      <c r="C1166" s="35" t="s">
        <v>887</v>
      </c>
      <c r="D1166" s="35">
        <v>2001</v>
      </c>
      <c r="E1166" s="35">
        <v>1998</v>
      </c>
      <c r="F1166" s="35" t="s">
        <v>892</v>
      </c>
      <c r="G1166" s="35" t="s">
        <v>888</v>
      </c>
      <c r="H1166" s="35">
        <v>45.23</v>
      </c>
      <c r="I1166" s="35">
        <v>-122.756</v>
      </c>
      <c r="J1166" s="35">
        <v>48.4</v>
      </c>
      <c r="P1166" s="54">
        <v>2</v>
      </c>
      <c r="Q1166" s="54"/>
      <c r="R1166" s="54" t="s">
        <v>748</v>
      </c>
      <c r="S1166" s="54" t="s">
        <v>1556</v>
      </c>
      <c r="T1166" s="54" t="s">
        <v>1556</v>
      </c>
      <c r="U1166" s="54" t="s">
        <v>1556</v>
      </c>
      <c r="V1166" s="54" t="s">
        <v>1904</v>
      </c>
      <c r="X1166" s="35">
        <v>28</v>
      </c>
      <c r="Y1166" s="35">
        <v>54</v>
      </c>
      <c r="Z1166" s="35" t="s">
        <v>531</v>
      </c>
      <c r="AA1166" s="35">
        <v>5.4</v>
      </c>
      <c r="AB1166" s="35">
        <v>1.71</v>
      </c>
      <c r="AD1166" s="35" t="s">
        <v>1508</v>
      </c>
      <c r="AE1166" s="35" t="s">
        <v>889</v>
      </c>
      <c r="AF1166" s="152" t="s">
        <v>1761</v>
      </c>
      <c r="AG1166" s="35" t="s">
        <v>895</v>
      </c>
      <c r="AH1166" s="154" t="s">
        <v>1806</v>
      </c>
      <c r="AI1166" s="35" t="s">
        <v>896</v>
      </c>
      <c r="AJ1166" s="35" t="s">
        <v>896</v>
      </c>
      <c r="AK1166" s="35" t="s">
        <v>212</v>
      </c>
      <c r="AR1166" s="35" t="s">
        <v>147</v>
      </c>
      <c r="AS1166" s="35">
        <v>4</v>
      </c>
      <c r="AT1166" s="35">
        <v>4</v>
      </c>
      <c r="AU1166" s="35" t="s">
        <v>169</v>
      </c>
      <c r="EG1166" s="35">
        <v>2.87</v>
      </c>
      <c r="EH1166" s="35">
        <v>2.79</v>
      </c>
      <c r="EI1166" s="35" t="s">
        <v>903</v>
      </c>
      <c r="FR1166" s="35" t="s">
        <v>901</v>
      </c>
      <c r="FT1166" s="35">
        <v>55</v>
      </c>
    </row>
    <row r="1167" spans="1:176" s="35" customFormat="1" x14ac:dyDescent="0.25">
      <c r="A1167" s="35">
        <v>55</v>
      </c>
      <c r="B1167" s="35" t="s">
        <v>886</v>
      </c>
      <c r="C1167" s="35" t="s">
        <v>887</v>
      </c>
      <c r="D1167" s="35">
        <v>2001</v>
      </c>
      <c r="E1167" s="35">
        <v>1998</v>
      </c>
      <c r="F1167" s="35" t="s">
        <v>892</v>
      </c>
      <c r="G1167" s="35" t="s">
        <v>888</v>
      </c>
      <c r="H1167" s="35">
        <v>45.23</v>
      </c>
      <c r="I1167" s="35">
        <v>-122.756</v>
      </c>
      <c r="J1167" s="35">
        <v>48.4</v>
      </c>
      <c r="P1167" s="54">
        <v>2</v>
      </c>
      <c r="Q1167" s="54"/>
      <c r="R1167" s="54" t="s">
        <v>748</v>
      </c>
      <c r="S1167" s="54" t="s">
        <v>1556</v>
      </c>
      <c r="T1167" s="54" t="s">
        <v>1556</v>
      </c>
      <c r="U1167" s="54" t="s">
        <v>1556</v>
      </c>
      <c r="V1167" s="54" t="s">
        <v>1904</v>
      </c>
      <c r="X1167" s="35">
        <v>28</v>
      </c>
      <c r="Y1167" s="35">
        <v>54</v>
      </c>
      <c r="Z1167" s="35" t="s">
        <v>531</v>
      </c>
      <c r="AA1167" s="35">
        <v>5.4</v>
      </c>
      <c r="AB1167" s="35">
        <v>1.71</v>
      </c>
      <c r="AD1167" s="35" t="s">
        <v>1508</v>
      </c>
      <c r="AE1167" s="35" t="s">
        <v>1758</v>
      </c>
      <c r="AF1167" s="152" t="s">
        <v>1762</v>
      </c>
      <c r="AG1167" s="35" t="s">
        <v>895</v>
      </c>
      <c r="AH1167" s="154" t="s">
        <v>1806</v>
      </c>
      <c r="AI1167" s="35" t="s">
        <v>896</v>
      </c>
      <c r="AJ1167" s="35" t="s">
        <v>896</v>
      </c>
      <c r="AK1167" s="35" t="s">
        <v>212</v>
      </c>
      <c r="AR1167" s="35" t="s">
        <v>147</v>
      </c>
      <c r="AS1167" s="35">
        <v>4</v>
      </c>
      <c r="AT1167" s="35">
        <v>4</v>
      </c>
      <c r="AU1167" s="35" t="s">
        <v>169</v>
      </c>
      <c r="EG1167" s="35">
        <v>2.87</v>
      </c>
      <c r="EH1167" s="35">
        <v>2.83</v>
      </c>
      <c r="EI1167" s="35" t="s">
        <v>903</v>
      </c>
      <c r="FR1167" s="35" t="s">
        <v>901</v>
      </c>
      <c r="FT1167" s="35">
        <v>55</v>
      </c>
    </row>
    <row r="1168" spans="1:176" s="47" customFormat="1" x14ac:dyDescent="0.25">
      <c r="A1168" s="47">
        <v>55</v>
      </c>
      <c r="B1168" s="47" t="s">
        <v>886</v>
      </c>
      <c r="C1168" s="47" t="s">
        <v>887</v>
      </c>
      <c r="D1168" s="47">
        <v>2001</v>
      </c>
      <c r="E1168" s="47">
        <v>1998</v>
      </c>
      <c r="F1168" s="47" t="s">
        <v>892</v>
      </c>
      <c r="G1168" s="47" t="s">
        <v>893</v>
      </c>
      <c r="H1168" s="47">
        <v>44.56</v>
      </c>
      <c r="I1168" s="47">
        <v>-123.26</v>
      </c>
      <c r="J1168" s="47">
        <v>59.6</v>
      </c>
      <c r="P1168" s="82">
        <v>2</v>
      </c>
      <c r="Q1168" s="82"/>
      <c r="R1168" s="82" t="s">
        <v>748</v>
      </c>
      <c r="S1168" s="82" t="s">
        <v>1556</v>
      </c>
      <c r="T1168" s="82" t="s">
        <v>1556</v>
      </c>
      <c r="U1168" s="82" t="s">
        <v>1556</v>
      </c>
      <c r="V1168" s="82" t="s">
        <v>1904</v>
      </c>
      <c r="X1168" s="47">
        <v>22</v>
      </c>
      <c r="Y1168" s="47">
        <v>52</v>
      </c>
      <c r="Z1168" s="47" t="s">
        <v>531</v>
      </c>
      <c r="AA1168" s="47">
        <v>5.9</v>
      </c>
      <c r="AB1168" s="47">
        <v>1.65</v>
      </c>
      <c r="AD1168" s="47" t="s">
        <v>1508</v>
      </c>
      <c r="AE1168" s="47" t="s">
        <v>1758</v>
      </c>
      <c r="AF1168" s="152" t="s">
        <v>1762</v>
      </c>
      <c r="AG1168" s="47" t="s">
        <v>902</v>
      </c>
      <c r="AH1168" s="154" t="s">
        <v>1806</v>
      </c>
      <c r="AI1168" s="47" t="s">
        <v>897</v>
      </c>
      <c r="AJ1168" s="47" t="s">
        <v>897</v>
      </c>
      <c r="AK1168" s="47" t="s">
        <v>212</v>
      </c>
      <c r="AR1168" s="47" t="s">
        <v>147</v>
      </c>
      <c r="AS1168" s="47">
        <v>4</v>
      </c>
      <c r="AT1168" s="47">
        <v>4</v>
      </c>
      <c r="AU1168" s="47" t="s">
        <v>169</v>
      </c>
      <c r="EG1168" s="47">
        <v>2.98</v>
      </c>
      <c r="EH1168" s="47">
        <v>3.05</v>
      </c>
      <c r="EI1168" s="47" t="s">
        <v>903</v>
      </c>
      <c r="FR1168" s="47" t="s">
        <v>901</v>
      </c>
      <c r="FT1168" s="47">
        <v>55</v>
      </c>
    </row>
    <row r="1169" spans="1:176" s="35" customFormat="1" x14ac:dyDescent="0.25">
      <c r="A1169" s="35">
        <v>55</v>
      </c>
      <c r="B1169" s="35" t="s">
        <v>886</v>
      </c>
      <c r="C1169" s="35" t="s">
        <v>887</v>
      </c>
      <c r="D1169" s="35">
        <v>2001</v>
      </c>
      <c r="E1169" s="35">
        <v>1999</v>
      </c>
      <c r="F1169" s="35" t="s">
        <v>892</v>
      </c>
      <c r="G1169" s="35" t="s">
        <v>888</v>
      </c>
      <c r="H1169" s="35">
        <v>45.23</v>
      </c>
      <c r="I1169" s="35">
        <v>-122.756</v>
      </c>
      <c r="J1169" s="35">
        <v>48.4</v>
      </c>
      <c r="P1169" s="54">
        <v>3</v>
      </c>
      <c r="Q1169" s="54"/>
      <c r="R1169" s="54" t="s">
        <v>748</v>
      </c>
      <c r="S1169" s="54" t="s">
        <v>1556</v>
      </c>
      <c r="T1169" s="54" t="s">
        <v>1556</v>
      </c>
      <c r="U1169" s="54" t="s">
        <v>1556</v>
      </c>
      <c r="V1169" s="54" t="s">
        <v>1904</v>
      </c>
      <c r="X1169" s="35">
        <v>28</v>
      </c>
      <c r="Y1169" s="35">
        <v>54</v>
      </c>
      <c r="Z1169" s="35" t="s">
        <v>531</v>
      </c>
      <c r="AA1169" s="35">
        <v>5.4</v>
      </c>
      <c r="AB1169" s="35">
        <v>1.71</v>
      </c>
      <c r="AD1169" s="35" t="s">
        <v>1508</v>
      </c>
      <c r="AE1169" s="35" t="s">
        <v>889</v>
      </c>
      <c r="AF1169" s="152" t="s">
        <v>1761</v>
      </c>
      <c r="AG1169" s="35" t="s">
        <v>902</v>
      </c>
      <c r="AH1169" s="154" t="s">
        <v>1806</v>
      </c>
      <c r="AI1169" s="35" t="s">
        <v>896</v>
      </c>
      <c r="AJ1169" s="35" t="s">
        <v>896</v>
      </c>
      <c r="AK1169" s="35" t="s">
        <v>212</v>
      </c>
      <c r="AR1169" s="35" t="s">
        <v>147</v>
      </c>
      <c r="AS1169" s="35">
        <v>4</v>
      </c>
      <c r="AT1169" s="35">
        <v>4</v>
      </c>
      <c r="AU1169" s="35" t="s">
        <v>169</v>
      </c>
      <c r="EG1169" s="35">
        <v>2.44</v>
      </c>
      <c r="EH1169" s="35">
        <v>2.63</v>
      </c>
      <c r="EI1169" s="35" t="s">
        <v>903</v>
      </c>
      <c r="FR1169" s="35" t="s">
        <v>901</v>
      </c>
      <c r="FT1169" s="35">
        <v>55</v>
      </c>
    </row>
    <row r="1170" spans="1:176" s="35" customFormat="1" x14ac:dyDescent="0.25">
      <c r="A1170" s="35">
        <v>55</v>
      </c>
      <c r="B1170" s="35" t="s">
        <v>886</v>
      </c>
      <c r="C1170" s="35" t="s">
        <v>887</v>
      </c>
      <c r="D1170" s="35">
        <v>2001</v>
      </c>
      <c r="E1170" s="35">
        <v>1999</v>
      </c>
      <c r="F1170" s="35" t="s">
        <v>892</v>
      </c>
      <c r="G1170" s="35" t="s">
        <v>888</v>
      </c>
      <c r="H1170" s="35">
        <v>45.23</v>
      </c>
      <c r="I1170" s="35">
        <v>-122.756</v>
      </c>
      <c r="J1170" s="35">
        <v>48.4</v>
      </c>
      <c r="P1170" s="54">
        <v>3</v>
      </c>
      <c r="Q1170" s="54"/>
      <c r="R1170" s="54" t="s">
        <v>748</v>
      </c>
      <c r="S1170" s="54" t="s">
        <v>1556</v>
      </c>
      <c r="T1170" s="54" t="s">
        <v>1556</v>
      </c>
      <c r="U1170" s="54" t="s">
        <v>1556</v>
      </c>
      <c r="V1170" s="54" t="s">
        <v>1904</v>
      </c>
      <c r="X1170" s="35">
        <v>28</v>
      </c>
      <c r="Y1170" s="35">
        <v>54</v>
      </c>
      <c r="Z1170" s="35" t="s">
        <v>531</v>
      </c>
      <c r="AA1170" s="35">
        <v>5.4</v>
      </c>
      <c r="AB1170" s="35">
        <v>1.71</v>
      </c>
      <c r="AD1170" s="35" t="s">
        <v>1508</v>
      </c>
      <c r="AE1170" s="35" t="s">
        <v>1758</v>
      </c>
      <c r="AF1170" s="152" t="s">
        <v>1762</v>
      </c>
      <c r="AG1170" s="35" t="s">
        <v>902</v>
      </c>
      <c r="AH1170" s="154" t="s">
        <v>1806</v>
      </c>
      <c r="AI1170" s="35" t="s">
        <v>896</v>
      </c>
      <c r="AJ1170" s="35" t="s">
        <v>896</v>
      </c>
      <c r="AK1170" s="35" t="s">
        <v>212</v>
      </c>
      <c r="AR1170" s="35" t="s">
        <v>147</v>
      </c>
      <c r="AS1170" s="35">
        <v>4</v>
      </c>
      <c r="AT1170" s="35">
        <v>4</v>
      </c>
      <c r="AU1170" s="35" t="s">
        <v>169</v>
      </c>
      <c r="EG1170" s="35">
        <v>2.44</v>
      </c>
      <c r="EH1170" s="35">
        <v>2.64</v>
      </c>
      <c r="EI1170" s="35" t="s">
        <v>903</v>
      </c>
      <c r="FR1170" s="35" t="s">
        <v>901</v>
      </c>
      <c r="FT1170" s="35">
        <v>55</v>
      </c>
    </row>
    <row r="1171" spans="1:176" s="47" customFormat="1" x14ac:dyDescent="0.25">
      <c r="A1171" s="47">
        <v>55</v>
      </c>
      <c r="B1171" s="47" t="s">
        <v>886</v>
      </c>
      <c r="C1171" s="47" t="s">
        <v>887</v>
      </c>
      <c r="D1171" s="47">
        <v>2001</v>
      </c>
      <c r="E1171" s="47">
        <v>1999</v>
      </c>
      <c r="F1171" s="47" t="s">
        <v>892</v>
      </c>
      <c r="G1171" s="47" t="s">
        <v>893</v>
      </c>
      <c r="H1171" s="47">
        <v>44.56</v>
      </c>
      <c r="I1171" s="47">
        <v>-123.26</v>
      </c>
      <c r="J1171" s="47">
        <v>59.6</v>
      </c>
      <c r="P1171" s="82">
        <v>3</v>
      </c>
      <c r="Q1171" s="82"/>
      <c r="R1171" s="82" t="s">
        <v>748</v>
      </c>
      <c r="S1171" s="82" t="s">
        <v>1556</v>
      </c>
      <c r="T1171" s="82" t="s">
        <v>1556</v>
      </c>
      <c r="U1171" s="82" t="s">
        <v>1556</v>
      </c>
      <c r="V1171" s="82" t="s">
        <v>1904</v>
      </c>
      <c r="X1171" s="47">
        <v>22</v>
      </c>
      <c r="Y1171" s="47">
        <v>52</v>
      </c>
      <c r="Z1171" s="47" t="s">
        <v>531</v>
      </c>
      <c r="AA1171" s="47">
        <v>5.9</v>
      </c>
      <c r="AB1171" s="47">
        <v>1.65</v>
      </c>
      <c r="AD1171" s="47" t="s">
        <v>1508</v>
      </c>
      <c r="AE1171" s="47" t="s">
        <v>1758</v>
      </c>
      <c r="AF1171" s="152" t="s">
        <v>1762</v>
      </c>
      <c r="AG1171" s="47" t="s">
        <v>902</v>
      </c>
      <c r="AH1171" s="154" t="s">
        <v>1806</v>
      </c>
      <c r="AI1171" s="47" t="s">
        <v>897</v>
      </c>
      <c r="AJ1171" s="47" t="s">
        <v>897</v>
      </c>
      <c r="AK1171" s="47" t="s">
        <v>212</v>
      </c>
      <c r="AR1171" s="47" t="s">
        <v>147</v>
      </c>
      <c r="AS1171" s="47">
        <v>4</v>
      </c>
      <c r="AT1171" s="47">
        <v>4</v>
      </c>
      <c r="AU1171" s="47" t="s">
        <v>169</v>
      </c>
      <c r="EG1171" s="47">
        <v>2.84</v>
      </c>
      <c r="EH1171" s="47">
        <v>2.95</v>
      </c>
      <c r="EI1171" s="47" t="s">
        <v>903</v>
      </c>
      <c r="FR1171" s="47" t="s">
        <v>901</v>
      </c>
      <c r="FT1171" s="47">
        <v>55</v>
      </c>
    </row>
    <row r="1172" spans="1:176" s="35" customFormat="1" x14ac:dyDescent="0.25">
      <c r="A1172" s="35">
        <v>55</v>
      </c>
      <c r="B1172" s="35" t="s">
        <v>886</v>
      </c>
      <c r="C1172" s="35" t="s">
        <v>887</v>
      </c>
      <c r="D1172" s="35">
        <v>2001</v>
      </c>
      <c r="E1172" s="35">
        <v>1998</v>
      </c>
      <c r="F1172" s="35" t="s">
        <v>892</v>
      </c>
      <c r="G1172" s="35" t="s">
        <v>888</v>
      </c>
      <c r="H1172" s="35">
        <v>45.23</v>
      </c>
      <c r="I1172" s="35">
        <v>-122.756</v>
      </c>
      <c r="J1172" s="35">
        <v>48.4</v>
      </c>
      <c r="P1172" s="54">
        <v>2</v>
      </c>
      <c r="Q1172" s="54"/>
      <c r="R1172" s="54" t="s">
        <v>747</v>
      </c>
      <c r="S1172" s="54" t="s">
        <v>1556</v>
      </c>
      <c r="T1172" s="54" t="s">
        <v>1556</v>
      </c>
      <c r="U1172" s="54" t="s">
        <v>1556</v>
      </c>
      <c r="V1172" s="54" t="s">
        <v>1904</v>
      </c>
      <c r="X1172" s="35">
        <v>28</v>
      </c>
      <c r="Y1172" s="35">
        <v>54</v>
      </c>
      <c r="Z1172" s="35" t="s">
        <v>531</v>
      </c>
      <c r="AA1172" s="35">
        <v>5.4</v>
      </c>
      <c r="AB1172" s="35">
        <v>1.71</v>
      </c>
      <c r="AD1172" s="35" t="s">
        <v>1508</v>
      </c>
      <c r="AE1172" s="35" t="s">
        <v>889</v>
      </c>
      <c r="AF1172" s="152" t="s">
        <v>1761</v>
      </c>
      <c r="AG1172" s="35" t="s">
        <v>895</v>
      </c>
      <c r="AH1172" s="154" t="s">
        <v>1806</v>
      </c>
      <c r="AI1172" s="35" t="s">
        <v>896</v>
      </c>
      <c r="AJ1172" s="35" t="s">
        <v>896</v>
      </c>
      <c r="AK1172" s="35" t="s">
        <v>212</v>
      </c>
      <c r="AR1172" s="35" t="s">
        <v>147</v>
      </c>
      <c r="AS1172" s="35">
        <v>4</v>
      </c>
      <c r="AT1172" s="35">
        <v>4</v>
      </c>
      <c r="AU1172" s="35" t="s">
        <v>169</v>
      </c>
      <c r="EG1172" s="35">
        <v>2.77</v>
      </c>
      <c r="EH1172" s="35">
        <v>2.61</v>
      </c>
      <c r="EI1172" s="35" t="s">
        <v>903</v>
      </c>
      <c r="FR1172" s="35" t="s">
        <v>901</v>
      </c>
      <c r="FT1172" s="35">
        <v>55</v>
      </c>
    </row>
    <row r="1173" spans="1:176" s="35" customFormat="1" x14ac:dyDescent="0.25">
      <c r="A1173" s="35">
        <v>55</v>
      </c>
      <c r="B1173" s="35" t="s">
        <v>886</v>
      </c>
      <c r="C1173" s="35" t="s">
        <v>887</v>
      </c>
      <c r="D1173" s="35">
        <v>2001</v>
      </c>
      <c r="E1173" s="35">
        <v>1998</v>
      </c>
      <c r="F1173" s="35" t="s">
        <v>892</v>
      </c>
      <c r="G1173" s="35" t="s">
        <v>888</v>
      </c>
      <c r="H1173" s="35">
        <v>45.23</v>
      </c>
      <c r="I1173" s="35">
        <v>-122.756</v>
      </c>
      <c r="J1173" s="35">
        <v>48.4</v>
      </c>
      <c r="P1173" s="54">
        <v>2</v>
      </c>
      <c r="Q1173" s="54"/>
      <c r="R1173" s="54" t="s">
        <v>747</v>
      </c>
      <c r="S1173" s="54" t="s">
        <v>1556</v>
      </c>
      <c r="T1173" s="54" t="s">
        <v>1556</v>
      </c>
      <c r="U1173" s="54" t="s">
        <v>1556</v>
      </c>
      <c r="V1173" s="54" t="s">
        <v>1904</v>
      </c>
      <c r="X1173" s="35">
        <v>28</v>
      </c>
      <c r="Y1173" s="35">
        <v>54</v>
      </c>
      <c r="Z1173" s="35" t="s">
        <v>531</v>
      </c>
      <c r="AA1173" s="35">
        <v>5.4</v>
      </c>
      <c r="AB1173" s="35">
        <v>1.71</v>
      </c>
      <c r="AD1173" s="35" t="s">
        <v>1508</v>
      </c>
      <c r="AE1173" s="35" t="s">
        <v>1758</v>
      </c>
      <c r="AF1173" s="152" t="s">
        <v>1762</v>
      </c>
      <c r="AG1173" s="35" t="s">
        <v>895</v>
      </c>
      <c r="AH1173" s="154" t="s">
        <v>1806</v>
      </c>
      <c r="AI1173" s="35" t="s">
        <v>896</v>
      </c>
      <c r="AJ1173" s="35" t="s">
        <v>896</v>
      </c>
      <c r="AK1173" s="35" t="s">
        <v>212</v>
      </c>
      <c r="AR1173" s="35" t="s">
        <v>147</v>
      </c>
      <c r="AS1173" s="35">
        <v>4</v>
      </c>
      <c r="AT1173" s="35">
        <v>4</v>
      </c>
      <c r="AU1173" s="35" t="s">
        <v>169</v>
      </c>
      <c r="EG1173" s="35">
        <v>2.77</v>
      </c>
      <c r="EH1173" s="35">
        <v>2.7</v>
      </c>
      <c r="EI1173" s="35" t="s">
        <v>903</v>
      </c>
      <c r="FR1173" s="35" t="s">
        <v>901</v>
      </c>
      <c r="FT1173" s="35">
        <v>55</v>
      </c>
    </row>
    <row r="1174" spans="1:176" s="47" customFormat="1" x14ac:dyDescent="0.25">
      <c r="A1174" s="47">
        <v>55</v>
      </c>
      <c r="B1174" s="47" t="s">
        <v>886</v>
      </c>
      <c r="C1174" s="47" t="s">
        <v>887</v>
      </c>
      <c r="D1174" s="47">
        <v>2001</v>
      </c>
      <c r="E1174" s="47">
        <v>1998</v>
      </c>
      <c r="F1174" s="47" t="s">
        <v>892</v>
      </c>
      <c r="G1174" s="47" t="s">
        <v>893</v>
      </c>
      <c r="H1174" s="47">
        <v>44.56</v>
      </c>
      <c r="I1174" s="47">
        <v>-123.26</v>
      </c>
      <c r="J1174" s="47">
        <v>59.6</v>
      </c>
      <c r="P1174" s="82">
        <v>2</v>
      </c>
      <c r="Q1174" s="82"/>
      <c r="R1174" s="82" t="s">
        <v>747</v>
      </c>
      <c r="S1174" s="82" t="s">
        <v>1556</v>
      </c>
      <c r="T1174" s="82" t="s">
        <v>1556</v>
      </c>
      <c r="U1174" s="82" t="s">
        <v>1556</v>
      </c>
      <c r="V1174" s="82" t="s">
        <v>1904</v>
      </c>
      <c r="X1174" s="47">
        <v>22</v>
      </c>
      <c r="Y1174" s="47">
        <v>52</v>
      </c>
      <c r="Z1174" s="47" t="s">
        <v>531</v>
      </c>
      <c r="AA1174" s="47">
        <v>5.9</v>
      </c>
      <c r="AB1174" s="47">
        <v>1.65</v>
      </c>
      <c r="AD1174" s="47" t="s">
        <v>1508</v>
      </c>
      <c r="AE1174" s="47" t="s">
        <v>1758</v>
      </c>
      <c r="AF1174" s="152" t="s">
        <v>1762</v>
      </c>
      <c r="AG1174" s="47" t="s">
        <v>902</v>
      </c>
      <c r="AH1174" s="154" t="s">
        <v>1806</v>
      </c>
      <c r="AI1174" s="47" t="s">
        <v>897</v>
      </c>
      <c r="AJ1174" s="47" t="s">
        <v>897</v>
      </c>
      <c r="AK1174" s="47" t="s">
        <v>212</v>
      </c>
      <c r="AR1174" s="47" t="s">
        <v>147</v>
      </c>
      <c r="AS1174" s="47">
        <v>4</v>
      </c>
      <c r="AT1174" s="47">
        <v>4</v>
      </c>
      <c r="AU1174" s="47" t="s">
        <v>169</v>
      </c>
      <c r="EG1174" s="47">
        <v>2.58</v>
      </c>
      <c r="EH1174" s="47">
        <v>2.82</v>
      </c>
      <c r="EI1174" s="47" t="s">
        <v>903</v>
      </c>
      <c r="FR1174" s="47" t="s">
        <v>901</v>
      </c>
      <c r="FT1174" s="47">
        <v>55</v>
      </c>
    </row>
    <row r="1175" spans="1:176" s="35" customFormat="1" x14ac:dyDescent="0.25">
      <c r="A1175" s="35">
        <v>55</v>
      </c>
      <c r="B1175" s="35" t="s">
        <v>886</v>
      </c>
      <c r="C1175" s="35" t="s">
        <v>887</v>
      </c>
      <c r="D1175" s="35">
        <v>2001</v>
      </c>
      <c r="E1175" s="35">
        <v>1999</v>
      </c>
      <c r="F1175" s="35" t="s">
        <v>892</v>
      </c>
      <c r="G1175" s="35" t="s">
        <v>888</v>
      </c>
      <c r="H1175" s="35">
        <v>45.23</v>
      </c>
      <c r="I1175" s="35">
        <v>-122.756</v>
      </c>
      <c r="J1175" s="35">
        <v>48.4</v>
      </c>
      <c r="P1175" s="54">
        <v>3</v>
      </c>
      <c r="Q1175" s="54"/>
      <c r="R1175" s="54" t="s">
        <v>747</v>
      </c>
      <c r="S1175" s="54" t="s">
        <v>1556</v>
      </c>
      <c r="T1175" s="54" t="s">
        <v>1556</v>
      </c>
      <c r="U1175" s="54" t="s">
        <v>1556</v>
      </c>
      <c r="V1175" s="54" t="s">
        <v>1904</v>
      </c>
      <c r="X1175" s="35">
        <v>28</v>
      </c>
      <c r="Y1175" s="35">
        <v>54</v>
      </c>
      <c r="Z1175" s="35" t="s">
        <v>531</v>
      </c>
      <c r="AA1175" s="35">
        <v>5.4</v>
      </c>
      <c r="AB1175" s="35">
        <v>1.71</v>
      </c>
      <c r="AD1175" s="35" t="s">
        <v>1508</v>
      </c>
      <c r="AE1175" s="35" t="s">
        <v>889</v>
      </c>
      <c r="AF1175" s="152" t="s">
        <v>1761</v>
      </c>
      <c r="AG1175" s="35" t="s">
        <v>902</v>
      </c>
      <c r="AH1175" s="154" t="s">
        <v>1806</v>
      </c>
      <c r="AI1175" s="35" t="s">
        <v>896</v>
      </c>
      <c r="AJ1175" s="35" t="s">
        <v>896</v>
      </c>
      <c r="AK1175" s="35" t="s">
        <v>212</v>
      </c>
      <c r="AR1175" s="35" t="s">
        <v>147</v>
      </c>
      <c r="AS1175" s="35">
        <v>4</v>
      </c>
      <c r="AT1175" s="35">
        <v>4</v>
      </c>
      <c r="AU1175" s="35" t="s">
        <v>169</v>
      </c>
      <c r="EG1175" s="35">
        <v>2.9</v>
      </c>
      <c r="EH1175" s="35">
        <v>2.9</v>
      </c>
      <c r="EI1175" s="35" t="s">
        <v>903</v>
      </c>
      <c r="FR1175" s="35" t="s">
        <v>901</v>
      </c>
      <c r="FT1175" s="35">
        <v>55</v>
      </c>
    </row>
    <row r="1176" spans="1:176" s="35" customFormat="1" x14ac:dyDescent="0.25">
      <c r="A1176" s="35">
        <v>55</v>
      </c>
      <c r="B1176" s="35" t="s">
        <v>886</v>
      </c>
      <c r="C1176" s="35" t="s">
        <v>887</v>
      </c>
      <c r="D1176" s="35">
        <v>2001</v>
      </c>
      <c r="E1176" s="35">
        <v>1999</v>
      </c>
      <c r="F1176" s="35" t="s">
        <v>892</v>
      </c>
      <c r="G1176" s="35" t="s">
        <v>888</v>
      </c>
      <c r="H1176" s="35">
        <v>45.23</v>
      </c>
      <c r="I1176" s="35">
        <v>-122.756</v>
      </c>
      <c r="J1176" s="35">
        <v>48.4</v>
      </c>
      <c r="P1176" s="54">
        <v>3</v>
      </c>
      <c r="Q1176" s="54"/>
      <c r="R1176" s="54" t="s">
        <v>747</v>
      </c>
      <c r="S1176" s="54" t="s">
        <v>1556</v>
      </c>
      <c r="T1176" s="54" t="s">
        <v>1556</v>
      </c>
      <c r="U1176" s="54" t="s">
        <v>1556</v>
      </c>
      <c r="V1176" s="54" t="s">
        <v>1904</v>
      </c>
      <c r="X1176" s="35">
        <v>28</v>
      </c>
      <c r="Y1176" s="35">
        <v>54</v>
      </c>
      <c r="Z1176" s="35" t="s">
        <v>531</v>
      </c>
      <c r="AA1176" s="35">
        <v>5.4</v>
      </c>
      <c r="AB1176" s="35">
        <v>1.71</v>
      </c>
      <c r="AD1176" s="35" t="s">
        <v>1508</v>
      </c>
      <c r="AE1176" s="35" t="s">
        <v>1758</v>
      </c>
      <c r="AF1176" s="152" t="s">
        <v>1762</v>
      </c>
      <c r="AG1176" s="35" t="s">
        <v>902</v>
      </c>
      <c r="AH1176" s="154" t="s">
        <v>1806</v>
      </c>
      <c r="AI1176" s="35" t="s">
        <v>896</v>
      </c>
      <c r="AJ1176" s="35" t="s">
        <v>896</v>
      </c>
      <c r="AK1176" s="35" t="s">
        <v>212</v>
      </c>
      <c r="AR1176" s="35" t="s">
        <v>147</v>
      </c>
      <c r="AS1176" s="35">
        <v>4</v>
      </c>
      <c r="AT1176" s="35">
        <v>4</v>
      </c>
      <c r="AU1176" s="35" t="s">
        <v>169</v>
      </c>
      <c r="EG1176" s="35">
        <v>2.9</v>
      </c>
      <c r="EH1176" s="35">
        <v>2.92</v>
      </c>
      <c r="EI1176" s="35" t="s">
        <v>903</v>
      </c>
      <c r="FR1176" s="35" t="s">
        <v>901</v>
      </c>
      <c r="FT1176" s="35">
        <v>55</v>
      </c>
    </row>
    <row r="1177" spans="1:176" s="47" customFormat="1" x14ac:dyDescent="0.25">
      <c r="A1177" s="47">
        <v>55</v>
      </c>
      <c r="B1177" s="47" t="s">
        <v>886</v>
      </c>
      <c r="C1177" s="47" t="s">
        <v>887</v>
      </c>
      <c r="D1177" s="47">
        <v>2001</v>
      </c>
      <c r="E1177" s="47">
        <v>1999</v>
      </c>
      <c r="F1177" s="47" t="s">
        <v>892</v>
      </c>
      <c r="G1177" s="47" t="s">
        <v>893</v>
      </c>
      <c r="H1177" s="47">
        <v>44.56</v>
      </c>
      <c r="I1177" s="47">
        <v>-123.26</v>
      </c>
      <c r="J1177" s="47">
        <v>59.6</v>
      </c>
      <c r="P1177" s="82">
        <v>3</v>
      </c>
      <c r="Q1177" s="82"/>
      <c r="R1177" s="82" t="s">
        <v>747</v>
      </c>
      <c r="S1177" s="82" t="s">
        <v>1556</v>
      </c>
      <c r="T1177" s="82" t="s">
        <v>1556</v>
      </c>
      <c r="U1177" s="82" t="s">
        <v>1556</v>
      </c>
      <c r="V1177" s="82" t="s">
        <v>1904</v>
      </c>
      <c r="X1177" s="47">
        <v>22</v>
      </c>
      <c r="Y1177" s="47">
        <v>52</v>
      </c>
      <c r="Z1177" s="47" t="s">
        <v>531</v>
      </c>
      <c r="AA1177" s="47">
        <v>5.9</v>
      </c>
      <c r="AB1177" s="47">
        <v>1.65</v>
      </c>
      <c r="AD1177" s="47" t="s">
        <v>1508</v>
      </c>
      <c r="AE1177" s="47" t="s">
        <v>1758</v>
      </c>
      <c r="AF1177" s="152" t="s">
        <v>1762</v>
      </c>
      <c r="AG1177" s="47" t="s">
        <v>902</v>
      </c>
      <c r="AH1177" s="154" t="s">
        <v>1806</v>
      </c>
      <c r="AI1177" s="47" t="s">
        <v>897</v>
      </c>
      <c r="AJ1177" s="47" t="s">
        <v>897</v>
      </c>
      <c r="AK1177" s="47" t="s">
        <v>212</v>
      </c>
      <c r="AR1177" s="47" t="s">
        <v>147</v>
      </c>
      <c r="AS1177" s="47">
        <v>4</v>
      </c>
      <c r="AT1177" s="47">
        <v>4</v>
      </c>
      <c r="AU1177" s="47" t="s">
        <v>169</v>
      </c>
      <c r="EG1177" s="47">
        <v>2.97</v>
      </c>
      <c r="EH1177" s="47">
        <v>3</v>
      </c>
      <c r="EI1177" s="47" t="s">
        <v>903</v>
      </c>
      <c r="FR1177" s="47" t="s">
        <v>901</v>
      </c>
      <c r="FT1177" s="47">
        <v>55</v>
      </c>
    </row>
    <row r="1178" spans="1:176" s="35" customFormat="1" x14ac:dyDescent="0.25">
      <c r="A1178" s="35">
        <v>55</v>
      </c>
      <c r="B1178" s="35" t="s">
        <v>886</v>
      </c>
      <c r="C1178" s="35" t="s">
        <v>887</v>
      </c>
      <c r="D1178" s="35">
        <v>2001</v>
      </c>
      <c r="E1178" s="35">
        <v>1998</v>
      </c>
      <c r="F1178" s="35" t="s">
        <v>892</v>
      </c>
      <c r="G1178" s="35" t="s">
        <v>888</v>
      </c>
      <c r="H1178" s="35">
        <v>45.23</v>
      </c>
      <c r="I1178" s="35">
        <v>-122.756</v>
      </c>
      <c r="J1178" s="35">
        <v>48.4</v>
      </c>
      <c r="P1178" s="54">
        <v>2</v>
      </c>
      <c r="Q1178" s="54"/>
      <c r="R1178" s="54" t="s">
        <v>749</v>
      </c>
      <c r="S1178" s="54" t="s">
        <v>1556</v>
      </c>
      <c r="T1178" s="54" t="s">
        <v>1556</v>
      </c>
      <c r="U1178" s="54" t="s">
        <v>1556</v>
      </c>
      <c r="V1178" s="54" t="s">
        <v>1904</v>
      </c>
      <c r="X1178" s="35">
        <v>28</v>
      </c>
      <c r="Y1178" s="35">
        <v>54</v>
      </c>
      <c r="Z1178" s="35" t="s">
        <v>531</v>
      </c>
      <c r="AA1178" s="35">
        <v>5.4</v>
      </c>
      <c r="AB1178" s="35">
        <v>1.71</v>
      </c>
      <c r="AD1178" s="35" t="s">
        <v>1508</v>
      </c>
      <c r="AE1178" s="35" t="s">
        <v>889</v>
      </c>
      <c r="AF1178" s="152" t="s">
        <v>1761</v>
      </c>
      <c r="AG1178" s="35" t="s">
        <v>895</v>
      </c>
      <c r="AH1178" s="154" t="s">
        <v>1806</v>
      </c>
      <c r="AI1178" s="35" t="s">
        <v>896</v>
      </c>
      <c r="AJ1178" s="35" t="s">
        <v>896</v>
      </c>
      <c r="AK1178" s="35" t="s">
        <v>212</v>
      </c>
      <c r="AR1178" s="35" t="s">
        <v>147</v>
      </c>
      <c r="AS1178" s="35">
        <v>4</v>
      </c>
      <c r="AT1178" s="35">
        <v>4</v>
      </c>
      <c r="AU1178" s="35" t="s">
        <v>169</v>
      </c>
      <c r="EG1178" s="35">
        <v>2.95</v>
      </c>
      <c r="EH1178" s="35">
        <v>2.83</v>
      </c>
      <c r="EI1178" s="35" t="s">
        <v>903</v>
      </c>
      <c r="FR1178" s="35" t="s">
        <v>901</v>
      </c>
      <c r="FT1178" s="35">
        <v>55</v>
      </c>
    </row>
    <row r="1179" spans="1:176" s="35" customFormat="1" x14ac:dyDescent="0.25">
      <c r="A1179" s="35">
        <v>55</v>
      </c>
      <c r="B1179" s="35" t="s">
        <v>886</v>
      </c>
      <c r="C1179" s="35" t="s">
        <v>887</v>
      </c>
      <c r="D1179" s="35">
        <v>2001</v>
      </c>
      <c r="E1179" s="35">
        <v>1998</v>
      </c>
      <c r="F1179" s="35" t="s">
        <v>892</v>
      </c>
      <c r="G1179" s="35" t="s">
        <v>888</v>
      </c>
      <c r="H1179" s="35">
        <v>45.23</v>
      </c>
      <c r="I1179" s="35">
        <v>-122.756</v>
      </c>
      <c r="J1179" s="35">
        <v>48.4</v>
      </c>
      <c r="P1179" s="54">
        <v>2</v>
      </c>
      <c r="Q1179" s="54"/>
      <c r="R1179" s="54" t="s">
        <v>749</v>
      </c>
      <c r="S1179" s="54" t="s">
        <v>1556</v>
      </c>
      <c r="T1179" s="54" t="s">
        <v>1556</v>
      </c>
      <c r="U1179" s="54" t="s">
        <v>1556</v>
      </c>
      <c r="V1179" s="54" t="s">
        <v>1904</v>
      </c>
      <c r="X1179" s="35">
        <v>28</v>
      </c>
      <c r="Y1179" s="35">
        <v>54</v>
      </c>
      <c r="Z1179" s="35" t="s">
        <v>531</v>
      </c>
      <c r="AA1179" s="35">
        <v>5.4</v>
      </c>
      <c r="AB1179" s="35">
        <v>1.71</v>
      </c>
      <c r="AD1179" s="35" t="s">
        <v>1508</v>
      </c>
      <c r="AE1179" s="35" t="s">
        <v>1758</v>
      </c>
      <c r="AF1179" s="152" t="s">
        <v>1762</v>
      </c>
      <c r="AG1179" s="35" t="s">
        <v>895</v>
      </c>
      <c r="AH1179" s="154" t="s">
        <v>1806</v>
      </c>
      <c r="AI1179" s="35" t="s">
        <v>896</v>
      </c>
      <c r="AJ1179" s="35" t="s">
        <v>896</v>
      </c>
      <c r="AK1179" s="35" t="s">
        <v>212</v>
      </c>
      <c r="AR1179" s="35" t="s">
        <v>147</v>
      </c>
      <c r="AS1179" s="35">
        <v>4</v>
      </c>
      <c r="AT1179" s="35">
        <v>4</v>
      </c>
      <c r="AU1179" s="35" t="s">
        <v>169</v>
      </c>
      <c r="EG1179" s="35">
        <v>2.95</v>
      </c>
      <c r="EH1179" s="35">
        <v>2.89</v>
      </c>
      <c r="EI1179" s="35" t="s">
        <v>903</v>
      </c>
      <c r="FR1179" s="35" t="s">
        <v>901</v>
      </c>
      <c r="FT1179" s="35">
        <v>55</v>
      </c>
    </row>
    <row r="1180" spans="1:176" s="47" customFormat="1" x14ac:dyDescent="0.25">
      <c r="A1180" s="47">
        <v>55</v>
      </c>
      <c r="B1180" s="47" t="s">
        <v>886</v>
      </c>
      <c r="C1180" s="47" t="s">
        <v>887</v>
      </c>
      <c r="D1180" s="47">
        <v>2001</v>
      </c>
      <c r="E1180" s="47">
        <v>1998</v>
      </c>
      <c r="F1180" s="47" t="s">
        <v>892</v>
      </c>
      <c r="G1180" s="47" t="s">
        <v>893</v>
      </c>
      <c r="H1180" s="47">
        <v>44.56</v>
      </c>
      <c r="I1180" s="47">
        <v>-123.26</v>
      </c>
      <c r="J1180" s="47">
        <v>59.6</v>
      </c>
      <c r="P1180" s="82">
        <v>2</v>
      </c>
      <c r="Q1180" s="82"/>
      <c r="R1180" s="82" t="s">
        <v>749</v>
      </c>
      <c r="S1180" s="82" t="s">
        <v>1556</v>
      </c>
      <c r="T1180" s="82" t="s">
        <v>1556</v>
      </c>
      <c r="U1180" s="82" t="s">
        <v>1556</v>
      </c>
      <c r="V1180" s="82" t="s">
        <v>1904</v>
      </c>
      <c r="X1180" s="47">
        <v>22</v>
      </c>
      <c r="Y1180" s="47">
        <v>52</v>
      </c>
      <c r="Z1180" s="47" t="s">
        <v>531</v>
      </c>
      <c r="AA1180" s="47">
        <v>5.9</v>
      </c>
      <c r="AB1180" s="47">
        <v>1.65</v>
      </c>
      <c r="AD1180" s="47" t="s">
        <v>1508</v>
      </c>
      <c r="AE1180" s="47" t="s">
        <v>1758</v>
      </c>
      <c r="AF1180" s="152" t="s">
        <v>1762</v>
      </c>
      <c r="AG1180" s="47" t="s">
        <v>902</v>
      </c>
      <c r="AH1180" s="154" t="s">
        <v>1806</v>
      </c>
      <c r="AI1180" s="47" t="s">
        <v>897</v>
      </c>
      <c r="AJ1180" s="47" t="s">
        <v>897</v>
      </c>
      <c r="AK1180" s="47" t="s">
        <v>212</v>
      </c>
      <c r="AR1180" s="47" t="s">
        <v>147</v>
      </c>
      <c r="AS1180" s="47">
        <v>4</v>
      </c>
      <c r="AT1180" s="47">
        <v>4</v>
      </c>
      <c r="AU1180" s="47" t="s">
        <v>169</v>
      </c>
      <c r="EG1180" s="47">
        <v>2.7</v>
      </c>
      <c r="EH1180" s="47">
        <v>2.84</v>
      </c>
      <c r="EI1180" s="47" t="s">
        <v>903</v>
      </c>
      <c r="FR1180" s="47" t="s">
        <v>901</v>
      </c>
      <c r="FT1180" s="47">
        <v>55</v>
      </c>
    </row>
    <row r="1181" spans="1:176" s="35" customFormat="1" x14ac:dyDescent="0.25">
      <c r="A1181" s="35">
        <v>55</v>
      </c>
      <c r="B1181" s="35" t="s">
        <v>886</v>
      </c>
      <c r="C1181" s="35" t="s">
        <v>887</v>
      </c>
      <c r="D1181" s="35">
        <v>2001</v>
      </c>
      <c r="E1181" s="35">
        <v>1999</v>
      </c>
      <c r="F1181" s="35" t="s">
        <v>892</v>
      </c>
      <c r="G1181" s="35" t="s">
        <v>888</v>
      </c>
      <c r="H1181" s="35">
        <v>45.23</v>
      </c>
      <c r="I1181" s="35">
        <v>-122.756</v>
      </c>
      <c r="J1181" s="35">
        <v>48.4</v>
      </c>
      <c r="P1181" s="54">
        <v>3</v>
      </c>
      <c r="Q1181" s="54"/>
      <c r="R1181" s="54" t="s">
        <v>749</v>
      </c>
      <c r="S1181" s="54" t="s">
        <v>1556</v>
      </c>
      <c r="T1181" s="54" t="s">
        <v>1556</v>
      </c>
      <c r="U1181" s="54" t="s">
        <v>1556</v>
      </c>
      <c r="V1181" s="54" t="s">
        <v>1904</v>
      </c>
      <c r="X1181" s="35">
        <v>28</v>
      </c>
      <c r="Y1181" s="35">
        <v>54</v>
      </c>
      <c r="Z1181" s="35" t="s">
        <v>531</v>
      </c>
      <c r="AA1181" s="35">
        <v>5.4</v>
      </c>
      <c r="AB1181" s="35">
        <v>1.71</v>
      </c>
      <c r="AD1181" s="35" t="s">
        <v>1508</v>
      </c>
      <c r="AE1181" s="35" t="s">
        <v>889</v>
      </c>
      <c r="AF1181" s="152" t="s">
        <v>1761</v>
      </c>
      <c r="AG1181" s="35" t="s">
        <v>902</v>
      </c>
      <c r="AH1181" s="154" t="s">
        <v>1806</v>
      </c>
      <c r="AI1181" s="35" t="s">
        <v>896</v>
      </c>
      <c r="AJ1181" s="35" t="s">
        <v>896</v>
      </c>
      <c r="AK1181" s="35" t="s">
        <v>212</v>
      </c>
      <c r="AR1181" s="35" t="s">
        <v>147</v>
      </c>
      <c r="AS1181" s="35">
        <v>4</v>
      </c>
      <c r="AT1181" s="35">
        <v>4</v>
      </c>
      <c r="AU1181" s="35" t="s">
        <v>169</v>
      </c>
      <c r="EG1181" s="35">
        <v>2.78</v>
      </c>
      <c r="EH1181" s="35">
        <v>2.75</v>
      </c>
      <c r="EI1181" s="35" t="s">
        <v>903</v>
      </c>
      <c r="FR1181" s="35" t="s">
        <v>901</v>
      </c>
      <c r="FT1181" s="35">
        <v>55</v>
      </c>
    </row>
    <row r="1182" spans="1:176" s="35" customFormat="1" x14ac:dyDescent="0.25">
      <c r="A1182" s="35">
        <v>55</v>
      </c>
      <c r="B1182" s="35" t="s">
        <v>886</v>
      </c>
      <c r="C1182" s="35" t="s">
        <v>887</v>
      </c>
      <c r="D1182" s="35">
        <v>2001</v>
      </c>
      <c r="E1182" s="35">
        <v>1999</v>
      </c>
      <c r="F1182" s="35" t="s">
        <v>892</v>
      </c>
      <c r="G1182" s="35" t="s">
        <v>888</v>
      </c>
      <c r="H1182" s="35">
        <v>45.23</v>
      </c>
      <c r="I1182" s="35">
        <v>-122.756</v>
      </c>
      <c r="J1182" s="35">
        <v>48.4</v>
      </c>
      <c r="P1182" s="54">
        <v>3</v>
      </c>
      <c r="Q1182" s="54"/>
      <c r="R1182" s="54" t="s">
        <v>749</v>
      </c>
      <c r="S1182" s="54" t="s">
        <v>1556</v>
      </c>
      <c r="T1182" s="54" t="s">
        <v>1556</v>
      </c>
      <c r="U1182" s="54" t="s">
        <v>1556</v>
      </c>
      <c r="V1182" s="54" t="s">
        <v>1904</v>
      </c>
      <c r="X1182" s="35">
        <v>28</v>
      </c>
      <c r="Y1182" s="35">
        <v>54</v>
      </c>
      <c r="Z1182" s="35" t="s">
        <v>531</v>
      </c>
      <c r="AA1182" s="35">
        <v>5.4</v>
      </c>
      <c r="AB1182" s="35">
        <v>1.71</v>
      </c>
      <c r="AD1182" s="35" t="s">
        <v>1508</v>
      </c>
      <c r="AE1182" s="35" t="s">
        <v>1758</v>
      </c>
      <c r="AF1182" s="152" t="s">
        <v>1762</v>
      </c>
      <c r="AG1182" s="35" t="s">
        <v>902</v>
      </c>
      <c r="AH1182" s="154" t="s">
        <v>1806</v>
      </c>
      <c r="AI1182" s="35" t="s">
        <v>896</v>
      </c>
      <c r="AJ1182" s="35" t="s">
        <v>896</v>
      </c>
      <c r="AK1182" s="35" t="s">
        <v>212</v>
      </c>
      <c r="AR1182" s="35" t="s">
        <v>147</v>
      </c>
      <c r="AS1182" s="35">
        <v>4</v>
      </c>
      <c r="AT1182" s="35">
        <v>4</v>
      </c>
      <c r="AU1182" s="35" t="s">
        <v>169</v>
      </c>
      <c r="EG1182" s="35">
        <v>2.78</v>
      </c>
      <c r="EH1182" s="35">
        <v>2.76</v>
      </c>
      <c r="EI1182" s="35" t="s">
        <v>903</v>
      </c>
      <c r="FR1182" s="35" t="s">
        <v>901</v>
      </c>
      <c r="FT1182" s="35">
        <v>55</v>
      </c>
    </row>
    <row r="1183" spans="1:176" s="47" customFormat="1" x14ac:dyDescent="0.25">
      <c r="A1183" s="47">
        <v>55</v>
      </c>
      <c r="B1183" s="47" t="s">
        <v>886</v>
      </c>
      <c r="C1183" s="47" t="s">
        <v>887</v>
      </c>
      <c r="D1183" s="47">
        <v>2001</v>
      </c>
      <c r="E1183" s="47">
        <v>1999</v>
      </c>
      <c r="F1183" s="47" t="s">
        <v>892</v>
      </c>
      <c r="G1183" s="47" t="s">
        <v>893</v>
      </c>
      <c r="H1183" s="47">
        <v>44.56</v>
      </c>
      <c r="I1183" s="47">
        <v>-123.26</v>
      </c>
      <c r="J1183" s="47">
        <v>59.6</v>
      </c>
      <c r="P1183" s="82">
        <v>3</v>
      </c>
      <c r="Q1183" s="82"/>
      <c r="R1183" s="82" t="s">
        <v>749</v>
      </c>
      <c r="S1183" s="82" t="s">
        <v>1556</v>
      </c>
      <c r="T1183" s="82" t="s">
        <v>1556</v>
      </c>
      <c r="U1183" s="82" t="s">
        <v>1556</v>
      </c>
      <c r="V1183" s="82" t="s">
        <v>1904</v>
      </c>
      <c r="X1183" s="47">
        <v>22</v>
      </c>
      <c r="Y1183" s="47">
        <v>52</v>
      </c>
      <c r="Z1183" s="47" t="s">
        <v>531</v>
      </c>
      <c r="AA1183" s="47">
        <v>5.9</v>
      </c>
      <c r="AB1183" s="47">
        <v>1.65</v>
      </c>
      <c r="AD1183" s="47" t="s">
        <v>1508</v>
      </c>
      <c r="AE1183" s="47" t="s">
        <v>1758</v>
      </c>
      <c r="AF1183" s="152" t="s">
        <v>1762</v>
      </c>
      <c r="AG1183" s="47" t="s">
        <v>902</v>
      </c>
      <c r="AH1183" s="154" t="s">
        <v>1806</v>
      </c>
      <c r="AI1183" s="47" t="s">
        <v>897</v>
      </c>
      <c r="AJ1183" s="47" t="s">
        <v>897</v>
      </c>
      <c r="AK1183" s="47" t="s">
        <v>212</v>
      </c>
      <c r="AR1183" s="47" t="s">
        <v>147</v>
      </c>
      <c r="AS1183" s="47">
        <v>4</v>
      </c>
      <c r="AT1183" s="47">
        <v>4</v>
      </c>
      <c r="AU1183" s="47" t="s">
        <v>169</v>
      </c>
      <c r="EG1183" s="47">
        <v>2.72</v>
      </c>
      <c r="EH1183" s="47">
        <v>2.84</v>
      </c>
      <c r="EI1183" s="47" t="s">
        <v>903</v>
      </c>
      <c r="FR1183" s="26" t="s">
        <v>901</v>
      </c>
      <c r="FT1183" s="47">
        <v>55</v>
      </c>
    </row>
    <row r="1184" spans="1:176" s="23" customFormat="1" x14ac:dyDescent="0.25">
      <c r="A1184" s="23">
        <v>56</v>
      </c>
      <c r="B1184" s="23" t="s">
        <v>886</v>
      </c>
      <c r="C1184" s="23" t="s">
        <v>887</v>
      </c>
      <c r="D1184" s="23">
        <v>2002</v>
      </c>
      <c r="E1184" s="23">
        <v>1998</v>
      </c>
      <c r="F1184" s="23" t="s">
        <v>498</v>
      </c>
      <c r="G1184" s="23" t="s">
        <v>893</v>
      </c>
      <c r="H1184" s="23">
        <v>44.56</v>
      </c>
      <c r="I1184" s="23">
        <v>-123.26</v>
      </c>
      <c r="J1184" s="23">
        <v>59.6</v>
      </c>
      <c r="P1184" s="53">
        <v>2</v>
      </c>
      <c r="Q1184" s="53"/>
      <c r="R1184" s="53" t="s">
        <v>250</v>
      </c>
      <c r="S1184" s="53" t="s">
        <v>1556</v>
      </c>
      <c r="T1184" s="53" t="s">
        <v>1556</v>
      </c>
      <c r="U1184" s="53" t="s">
        <v>1556</v>
      </c>
      <c r="V1184" s="53" t="s">
        <v>1904</v>
      </c>
      <c r="X1184" s="23">
        <v>22</v>
      </c>
      <c r="Y1184" s="23">
        <v>52</v>
      </c>
      <c r="Z1184" s="23" t="s">
        <v>531</v>
      </c>
      <c r="AA1184" s="23">
        <v>5.9</v>
      </c>
      <c r="AB1184" s="23">
        <v>1.65</v>
      </c>
      <c r="AD1184" s="23" t="s">
        <v>1508</v>
      </c>
      <c r="AE1184" s="23" t="s">
        <v>1758</v>
      </c>
      <c r="AF1184" s="152" t="s">
        <v>1762</v>
      </c>
      <c r="AG1184" s="23" t="s">
        <v>902</v>
      </c>
      <c r="AH1184" s="155" t="s">
        <v>1793</v>
      </c>
      <c r="AI1184" s="23" t="s">
        <v>897</v>
      </c>
      <c r="AJ1184" s="23" t="s">
        <v>897</v>
      </c>
      <c r="AK1184" s="23" t="s">
        <v>212</v>
      </c>
      <c r="AR1184" s="23" t="s">
        <v>147</v>
      </c>
      <c r="AS1184" s="23">
        <v>4</v>
      </c>
      <c r="AT1184" s="23">
        <v>4</v>
      </c>
      <c r="AU1184" s="23" t="s">
        <v>169</v>
      </c>
      <c r="EP1184" s="23">
        <f>29.8/7</f>
        <v>4.2571428571428571</v>
      </c>
      <c r="EQ1184" s="23">
        <f>31.6/7</f>
        <v>4.5142857142857142</v>
      </c>
      <c r="EY1184" s="23">
        <f>5.72</f>
        <v>5.72</v>
      </c>
      <c r="EZ1184" s="23">
        <v>7.31</v>
      </c>
      <c r="FA1184" s="23" t="s">
        <v>909</v>
      </c>
      <c r="FH1184" s="23">
        <v>231</v>
      </c>
      <c r="FI1184" s="23">
        <v>253</v>
      </c>
      <c r="FJ1184" s="23" t="s">
        <v>908</v>
      </c>
      <c r="FT1184" s="23">
        <v>56</v>
      </c>
    </row>
    <row r="1185" spans="1:176" s="23" customFormat="1" x14ac:dyDescent="0.25">
      <c r="A1185" s="23">
        <v>56</v>
      </c>
      <c r="B1185" s="23" t="s">
        <v>886</v>
      </c>
      <c r="C1185" s="23" t="s">
        <v>887</v>
      </c>
      <c r="D1185" s="23">
        <v>2002</v>
      </c>
      <c r="E1185" s="23">
        <v>1998</v>
      </c>
      <c r="F1185" s="23" t="s">
        <v>498</v>
      </c>
      <c r="G1185" s="23" t="s">
        <v>893</v>
      </c>
      <c r="H1185" s="23">
        <v>44.56</v>
      </c>
      <c r="I1185" s="23">
        <v>-123.26</v>
      </c>
      <c r="J1185" s="23">
        <v>59.6</v>
      </c>
      <c r="P1185" s="53">
        <v>2</v>
      </c>
      <c r="Q1185" s="53"/>
      <c r="R1185" s="53" t="s">
        <v>264</v>
      </c>
      <c r="S1185" s="53" t="s">
        <v>1556</v>
      </c>
      <c r="T1185" s="53" t="s">
        <v>1556</v>
      </c>
      <c r="U1185" s="53" t="s">
        <v>1556</v>
      </c>
      <c r="V1185" s="53" t="s">
        <v>1904</v>
      </c>
      <c r="X1185" s="23">
        <v>22</v>
      </c>
      <c r="Y1185" s="23">
        <v>52</v>
      </c>
      <c r="Z1185" s="23" t="s">
        <v>531</v>
      </c>
      <c r="AA1185" s="23">
        <v>5.9</v>
      </c>
      <c r="AB1185" s="23">
        <v>1.65</v>
      </c>
      <c r="AD1185" s="23" t="s">
        <v>1508</v>
      </c>
      <c r="AE1185" s="23" t="s">
        <v>1758</v>
      </c>
      <c r="AF1185" s="152" t="s">
        <v>1762</v>
      </c>
      <c r="AG1185" s="23" t="s">
        <v>902</v>
      </c>
      <c r="AH1185" s="155" t="s">
        <v>1793</v>
      </c>
      <c r="AI1185" s="23" t="s">
        <v>897</v>
      </c>
      <c r="AJ1185" s="23" t="s">
        <v>897</v>
      </c>
      <c r="AK1185" s="23" t="s">
        <v>212</v>
      </c>
      <c r="AR1185" s="23" t="s">
        <v>147</v>
      </c>
      <c r="AS1185" s="23">
        <v>4</v>
      </c>
      <c r="AT1185" s="23">
        <v>4</v>
      </c>
      <c r="AU1185" s="23" t="s">
        <v>169</v>
      </c>
      <c r="EP1185" s="23">
        <f>15.2/7</f>
        <v>2.1714285714285713</v>
      </c>
      <c r="EQ1185" s="23">
        <f>31.4/7</f>
        <v>4.4857142857142858</v>
      </c>
      <c r="EY1185" s="23">
        <v>3.37</v>
      </c>
      <c r="EZ1185" s="23">
        <v>5.31</v>
      </c>
      <c r="FA1185" s="23" t="s">
        <v>909</v>
      </c>
      <c r="FH1185" s="23">
        <v>133</v>
      </c>
      <c r="FI1185" s="23">
        <v>222</v>
      </c>
      <c r="FJ1185" s="23" t="s">
        <v>908</v>
      </c>
      <c r="FT1185" s="23">
        <v>56</v>
      </c>
    </row>
    <row r="1186" spans="1:176" s="23" customFormat="1" x14ac:dyDescent="0.25">
      <c r="A1186" s="23">
        <v>56</v>
      </c>
      <c r="B1186" s="23" t="s">
        <v>886</v>
      </c>
      <c r="C1186" s="23" t="s">
        <v>887</v>
      </c>
      <c r="D1186" s="23">
        <v>2002</v>
      </c>
      <c r="E1186" s="23">
        <v>1998</v>
      </c>
      <c r="F1186" s="23" t="s">
        <v>498</v>
      </c>
      <c r="G1186" s="23" t="s">
        <v>893</v>
      </c>
      <c r="H1186" s="23">
        <v>44.56</v>
      </c>
      <c r="I1186" s="23">
        <v>-123.26</v>
      </c>
      <c r="J1186" s="23">
        <v>59.6</v>
      </c>
      <c r="P1186" s="53">
        <v>2</v>
      </c>
      <c r="Q1186" s="53"/>
      <c r="R1186" s="53" t="s">
        <v>907</v>
      </c>
      <c r="S1186" s="53" t="s">
        <v>1556</v>
      </c>
      <c r="T1186" s="53" t="s">
        <v>1556</v>
      </c>
      <c r="U1186" s="53" t="s">
        <v>1556</v>
      </c>
      <c r="V1186" s="53" t="s">
        <v>1904</v>
      </c>
      <c r="X1186" s="23">
        <v>22</v>
      </c>
      <c r="Y1186" s="23">
        <v>52</v>
      </c>
      <c r="Z1186" s="23" t="s">
        <v>531</v>
      </c>
      <c r="AA1186" s="23">
        <v>5.9</v>
      </c>
      <c r="AB1186" s="23">
        <v>1.65</v>
      </c>
      <c r="AD1186" s="23" t="s">
        <v>1508</v>
      </c>
      <c r="AE1186" s="23" t="s">
        <v>1758</v>
      </c>
      <c r="AF1186" s="152" t="s">
        <v>1762</v>
      </c>
      <c r="AG1186" s="23" t="s">
        <v>902</v>
      </c>
      <c r="AH1186" s="155" t="s">
        <v>1793</v>
      </c>
      <c r="AI1186" s="23" t="s">
        <v>897</v>
      </c>
      <c r="AJ1186" s="23" t="s">
        <v>897</v>
      </c>
      <c r="AK1186" s="23" t="s">
        <v>212</v>
      </c>
      <c r="AR1186" s="23" t="s">
        <v>147</v>
      </c>
      <c r="AS1186" s="23">
        <v>4</v>
      </c>
      <c r="AT1186" s="23">
        <v>4</v>
      </c>
      <c r="AU1186" s="23" t="s">
        <v>169</v>
      </c>
      <c r="EP1186" s="23">
        <f>12.6/7</f>
        <v>1.8</v>
      </c>
      <c r="EQ1186" s="23">
        <f>20.9/7</f>
        <v>2.9857142857142853</v>
      </c>
      <c r="EY1186" s="23">
        <v>3.41</v>
      </c>
      <c r="EZ1186" s="23">
        <v>5.16</v>
      </c>
      <c r="FA1186" s="23" t="s">
        <v>909</v>
      </c>
      <c r="FH1186" s="23">
        <v>188</v>
      </c>
      <c r="FI1186" s="23">
        <v>315</v>
      </c>
      <c r="FJ1186" s="23" t="s">
        <v>908</v>
      </c>
      <c r="FT1186" s="23">
        <v>56</v>
      </c>
    </row>
    <row r="1187" spans="1:176" s="23" customFormat="1" x14ac:dyDescent="0.25">
      <c r="A1187" s="23">
        <v>56</v>
      </c>
      <c r="B1187" s="23" t="s">
        <v>886</v>
      </c>
      <c r="C1187" s="23" t="s">
        <v>887</v>
      </c>
      <c r="D1187" s="23">
        <v>2002</v>
      </c>
      <c r="E1187" s="23">
        <v>1999</v>
      </c>
      <c r="F1187" s="23" t="s">
        <v>498</v>
      </c>
      <c r="G1187" s="23" t="s">
        <v>893</v>
      </c>
      <c r="H1187" s="23">
        <v>44.56</v>
      </c>
      <c r="I1187" s="23">
        <v>-123.26</v>
      </c>
      <c r="J1187" s="23">
        <v>59.6</v>
      </c>
      <c r="P1187" s="53">
        <v>3</v>
      </c>
      <c r="Q1187" s="53"/>
      <c r="R1187" s="53" t="s">
        <v>250</v>
      </c>
      <c r="S1187" s="53" t="s">
        <v>1556</v>
      </c>
      <c r="T1187" s="53" t="s">
        <v>1556</v>
      </c>
      <c r="U1187" s="53" t="s">
        <v>1556</v>
      </c>
      <c r="V1187" s="53" t="s">
        <v>1904</v>
      </c>
      <c r="X1187" s="23">
        <v>22</v>
      </c>
      <c r="Y1187" s="23">
        <v>52</v>
      </c>
      <c r="Z1187" s="23" t="s">
        <v>531</v>
      </c>
      <c r="AA1187" s="23">
        <v>5.9</v>
      </c>
      <c r="AB1187" s="23">
        <v>1.65</v>
      </c>
      <c r="AD1187" s="23" t="s">
        <v>1508</v>
      </c>
      <c r="AE1187" s="23" t="s">
        <v>1758</v>
      </c>
      <c r="AF1187" s="152" t="s">
        <v>1762</v>
      </c>
      <c r="AG1187" s="23" t="s">
        <v>902</v>
      </c>
      <c r="AH1187" s="155" t="s">
        <v>1793</v>
      </c>
      <c r="AI1187" s="23" t="s">
        <v>897</v>
      </c>
      <c r="AJ1187" s="23" t="s">
        <v>897</v>
      </c>
      <c r="AK1187" s="23" t="s">
        <v>212</v>
      </c>
      <c r="AR1187" s="23" t="s">
        <v>147</v>
      </c>
      <c r="AS1187" s="23">
        <v>4</v>
      </c>
      <c r="AT1187" s="23">
        <v>4</v>
      </c>
      <c r="AU1187" s="23" t="s">
        <v>169</v>
      </c>
      <c r="EP1187" s="23">
        <f>21.7/7</f>
        <v>3.1</v>
      </c>
      <c r="EQ1187" s="23">
        <f>34.5/7</f>
        <v>4.9285714285714288</v>
      </c>
      <c r="EY1187" s="23">
        <v>1.55</v>
      </c>
      <c r="EZ1187" s="23">
        <v>2.97</v>
      </c>
      <c r="FA1187" s="23" t="s">
        <v>909</v>
      </c>
      <c r="FH1187" s="23">
        <v>153</v>
      </c>
      <c r="FI1187" s="23">
        <v>184</v>
      </c>
      <c r="FJ1187" s="23" t="s">
        <v>908</v>
      </c>
      <c r="FT1187" s="23">
        <v>56</v>
      </c>
    </row>
    <row r="1188" spans="1:176" s="47" customFormat="1" x14ac:dyDescent="0.25">
      <c r="A1188" s="47">
        <v>57</v>
      </c>
      <c r="B1188" s="47" t="s">
        <v>962</v>
      </c>
      <c r="C1188" s="47" t="s">
        <v>963</v>
      </c>
      <c r="D1188" s="47">
        <v>1990</v>
      </c>
      <c r="E1188" s="47">
        <v>1973</v>
      </c>
      <c r="F1188" s="47" t="s">
        <v>967</v>
      </c>
      <c r="G1188" s="47" t="s">
        <v>964</v>
      </c>
      <c r="H1188" s="47">
        <v>34.200000000000003</v>
      </c>
      <c r="I1188" s="47">
        <v>-90.58</v>
      </c>
      <c r="J1188" s="47">
        <v>55.3</v>
      </c>
      <c r="P1188" s="82">
        <v>1</v>
      </c>
      <c r="Q1188" s="47" t="s">
        <v>997</v>
      </c>
      <c r="R1188" s="82"/>
      <c r="S1188" s="82" t="s">
        <v>1558</v>
      </c>
      <c r="T1188" s="82" t="s">
        <v>1558</v>
      </c>
      <c r="U1188" s="82" t="s">
        <v>1558</v>
      </c>
      <c r="V1188" s="82" t="s">
        <v>1905</v>
      </c>
      <c r="W1188" s="47">
        <v>1.325</v>
      </c>
      <c r="Z1188" s="47" t="s">
        <v>531</v>
      </c>
      <c r="AD1188" s="47" t="s">
        <v>1509</v>
      </c>
      <c r="AE1188" s="47" t="s">
        <v>159</v>
      </c>
      <c r="AF1188" s="152" t="s">
        <v>159</v>
      </c>
      <c r="AG1188" s="47" t="s">
        <v>673</v>
      </c>
      <c r="AH1188" s="154" t="s">
        <v>1797</v>
      </c>
      <c r="AO1188" s="47" t="s">
        <v>968</v>
      </c>
      <c r="AP1188" s="47" t="s">
        <v>968</v>
      </c>
      <c r="AQ1188" s="47" t="s">
        <v>212</v>
      </c>
      <c r="AR1188" s="47" t="s">
        <v>192</v>
      </c>
      <c r="AS1188" s="47">
        <v>4</v>
      </c>
      <c r="AT1188" s="47">
        <v>4</v>
      </c>
      <c r="AU1188" s="47" t="s">
        <v>169</v>
      </c>
      <c r="AZ1188" s="47" t="s">
        <v>965</v>
      </c>
      <c r="BD1188" s="47">
        <v>2350</v>
      </c>
      <c r="BE1188" s="47">
        <v>2434</v>
      </c>
      <c r="FR1188" s="47" t="s">
        <v>977</v>
      </c>
      <c r="FT1188" s="47">
        <v>57</v>
      </c>
    </row>
    <row r="1189" spans="1:176" s="47" customFormat="1" x14ac:dyDescent="0.25">
      <c r="A1189" s="47">
        <v>57</v>
      </c>
      <c r="B1189" s="47" t="s">
        <v>962</v>
      </c>
      <c r="C1189" s="47" t="s">
        <v>963</v>
      </c>
      <c r="D1189" s="47">
        <v>1990</v>
      </c>
      <c r="E1189" s="47">
        <v>1973</v>
      </c>
      <c r="F1189" s="47" t="s">
        <v>967</v>
      </c>
      <c r="G1189" s="47" t="s">
        <v>964</v>
      </c>
      <c r="H1189" s="47">
        <v>34.200000000000003</v>
      </c>
      <c r="I1189" s="47">
        <v>-90.58</v>
      </c>
      <c r="J1189" s="47">
        <v>55.3</v>
      </c>
      <c r="P1189" s="82">
        <v>1</v>
      </c>
      <c r="Q1189" s="47" t="s">
        <v>997</v>
      </c>
      <c r="R1189" s="82"/>
      <c r="S1189" s="82" t="s">
        <v>1558</v>
      </c>
      <c r="T1189" s="82" t="s">
        <v>1558</v>
      </c>
      <c r="U1189" s="82" t="s">
        <v>1558</v>
      </c>
      <c r="V1189" s="82" t="s">
        <v>1905</v>
      </c>
      <c r="W1189" s="47">
        <v>1.325</v>
      </c>
      <c r="Z1189" s="47" t="s">
        <v>531</v>
      </c>
      <c r="AD1189" s="47" t="s">
        <v>1509</v>
      </c>
      <c r="AE1189" s="47" t="s">
        <v>281</v>
      </c>
      <c r="AF1189" s="152" t="s">
        <v>666</v>
      </c>
      <c r="AG1189" s="47" t="s">
        <v>673</v>
      </c>
      <c r="AH1189" s="154" t="s">
        <v>1797</v>
      </c>
      <c r="AO1189" s="47" t="s">
        <v>968</v>
      </c>
      <c r="AP1189" s="47" t="s">
        <v>968</v>
      </c>
      <c r="AQ1189" s="47" t="s">
        <v>212</v>
      </c>
      <c r="AR1189" s="47" t="s">
        <v>192</v>
      </c>
      <c r="AS1189" s="47">
        <v>4</v>
      </c>
      <c r="AT1189" s="47">
        <v>4</v>
      </c>
      <c r="AU1189" s="47" t="s">
        <v>169</v>
      </c>
      <c r="AZ1189" s="47" t="s">
        <v>965</v>
      </c>
      <c r="BD1189" s="47">
        <v>2350</v>
      </c>
      <c r="BE1189" s="47">
        <v>2492</v>
      </c>
      <c r="FR1189" s="47" t="s">
        <v>977</v>
      </c>
      <c r="FT1189" s="47">
        <v>57</v>
      </c>
    </row>
    <row r="1190" spans="1:176" s="47" customFormat="1" x14ac:dyDescent="0.25">
      <c r="A1190" s="47">
        <v>57</v>
      </c>
      <c r="B1190" s="47" t="s">
        <v>962</v>
      </c>
      <c r="C1190" s="47" t="s">
        <v>963</v>
      </c>
      <c r="D1190" s="47">
        <v>1990</v>
      </c>
      <c r="E1190" s="47">
        <v>1973</v>
      </c>
      <c r="F1190" s="47" t="s">
        <v>967</v>
      </c>
      <c r="G1190" s="47" t="s">
        <v>964</v>
      </c>
      <c r="H1190" s="47">
        <v>34.200000000000003</v>
      </c>
      <c r="I1190" s="47">
        <v>-90.58</v>
      </c>
      <c r="J1190" s="47">
        <v>55.3</v>
      </c>
      <c r="P1190" s="82">
        <v>1</v>
      </c>
      <c r="Q1190" s="47" t="s">
        <v>997</v>
      </c>
      <c r="R1190" s="82"/>
      <c r="S1190" s="82" t="s">
        <v>1558</v>
      </c>
      <c r="T1190" s="82" t="s">
        <v>1558</v>
      </c>
      <c r="U1190" s="82" t="s">
        <v>1558</v>
      </c>
      <c r="V1190" s="82" t="s">
        <v>1905</v>
      </c>
      <c r="W1190" s="47">
        <v>1.325</v>
      </c>
      <c r="Z1190" s="47" t="s">
        <v>531</v>
      </c>
      <c r="AD1190" s="47" t="s">
        <v>1509</v>
      </c>
      <c r="AE1190" s="47" t="s">
        <v>966</v>
      </c>
      <c r="AF1190" s="152" t="s">
        <v>666</v>
      </c>
      <c r="AG1190" s="47" t="s">
        <v>673</v>
      </c>
      <c r="AH1190" s="154" t="s">
        <v>1797</v>
      </c>
      <c r="AO1190" s="47" t="s">
        <v>968</v>
      </c>
      <c r="AP1190" s="47" t="s">
        <v>968</v>
      </c>
      <c r="AQ1190" s="47" t="s">
        <v>212</v>
      </c>
      <c r="AR1190" s="47" t="s">
        <v>192</v>
      </c>
      <c r="AS1190" s="47">
        <v>4</v>
      </c>
      <c r="AT1190" s="47">
        <v>4</v>
      </c>
      <c r="AU1190" s="47" t="s">
        <v>169</v>
      </c>
      <c r="AZ1190" s="47" t="s">
        <v>965</v>
      </c>
      <c r="BD1190" s="47">
        <v>2350</v>
      </c>
      <c r="BE1190" s="47">
        <v>2156</v>
      </c>
      <c r="FR1190" s="47" t="s">
        <v>977</v>
      </c>
      <c r="FT1190" s="47">
        <v>57</v>
      </c>
    </row>
    <row r="1191" spans="1:176" s="35" customFormat="1" x14ac:dyDescent="0.25">
      <c r="A1191" s="35">
        <v>57</v>
      </c>
      <c r="B1191" s="35" t="s">
        <v>962</v>
      </c>
      <c r="C1191" s="35" t="s">
        <v>963</v>
      </c>
      <c r="D1191" s="35">
        <v>1990</v>
      </c>
      <c r="E1191" s="35">
        <v>1974</v>
      </c>
      <c r="F1191" s="35" t="s">
        <v>967</v>
      </c>
      <c r="G1191" s="35" t="s">
        <v>964</v>
      </c>
      <c r="H1191" s="35">
        <v>34.200000000000003</v>
      </c>
      <c r="I1191" s="35">
        <v>-90.58</v>
      </c>
      <c r="J1191" s="35">
        <v>55.3</v>
      </c>
      <c r="P1191" s="54">
        <v>2</v>
      </c>
      <c r="Q1191" s="54" t="s">
        <v>1000</v>
      </c>
      <c r="R1191" s="54"/>
      <c r="S1191" s="54" t="s">
        <v>1558</v>
      </c>
      <c r="T1191" s="54" t="s">
        <v>1558</v>
      </c>
      <c r="U1191" s="54" t="s">
        <v>1558</v>
      </c>
      <c r="V1191" s="54" t="s">
        <v>1905</v>
      </c>
      <c r="W1191" s="35">
        <v>1.325</v>
      </c>
      <c r="Z1191" s="35" t="s">
        <v>531</v>
      </c>
      <c r="AD1191" s="35" t="s">
        <v>1509</v>
      </c>
      <c r="AE1191" s="35" t="s">
        <v>159</v>
      </c>
      <c r="AF1191" s="152" t="s">
        <v>159</v>
      </c>
      <c r="AG1191" s="35" t="s">
        <v>673</v>
      </c>
      <c r="AH1191" s="154" t="s">
        <v>1797</v>
      </c>
      <c r="AO1191" s="35" t="s">
        <v>969</v>
      </c>
      <c r="AP1191" s="35" t="s">
        <v>969</v>
      </c>
      <c r="AQ1191" s="35" t="s">
        <v>212</v>
      </c>
      <c r="AR1191" s="35" t="s">
        <v>192</v>
      </c>
      <c r="AS1191" s="35">
        <v>4</v>
      </c>
      <c r="AT1191" s="35">
        <v>4</v>
      </c>
      <c r="AU1191" s="35" t="s">
        <v>169</v>
      </c>
      <c r="AZ1191" s="35" t="s">
        <v>965</v>
      </c>
      <c r="BD1191" s="35">
        <v>1636</v>
      </c>
      <c r="BE1191" s="35">
        <v>1839</v>
      </c>
      <c r="FR1191" s="35" t="s">
        <v>977</v>
      </c>
      <c r="FT1191" s="35">
        <v>57</v>
      </c>
    </row>
    <row r="1192" spans="1:176" s="35" customFormat="1" x14ac:dyDescent="0.25">
      <c r="A1192" s="35">
        <v>57</v>
      </c>
      <c r="B1192" s="35" t="s">
        <v>962</v>
      </c>
      <c r="C1192" s="35" t="s">
        <v>963</v>
      </c>
      <c r="D1192" s="35">
        <v>1990</v>
      </c>
      <c r="E1192" s="35">
        <v>1974</v>
      </c>
      <c r="F1192" s="35" t="s">
        <v>967</v>
      </c>
      <c r="G1192" s="35" t="s">
        <v>964</v>
      </c>
      <c r="H1192" s="35">
        <v>34.200000000000003</v>
      </c>
      <c r="I1192" s="35">
        <v>-90.58</v>
      </c>
      <c r="J1192" s="35">
        <v>55.3</v>
      </c>
      <c r="P1192" s="54">
        <v>2</v>
      </c>
      <c r="Q1192" s="54" t="s">
        <v>1000</v>
      </c>
      <c r="R1192" s="54"/>
      <c r="S1192" s="54" t="s">
        <v>1558</v>
      </c>
      <c r="T1192" s="54" t="s">
        <v>1558</v>
      </c>
      <c r="U1192" s="54" t="s">
        <v>1558</v>
      </c>
      <c r="V1192" s="54" t="s">
        <v>1905</v>
      </c>
      <c r="W1192" s="35">
        <v>1.325</v>
      </c>
      <c r="Z1192" s="35" t="s">
        <v>531</v>
      </c>
      <c r="AD1192" s="35" t="s">
        <v>1509</v>
      </c>
      <c r="AE1192" s="35" t="s">
        <v>281</v>
      </c>
      <c r="AF1192" s="152" t="s">
        <v>666</v>
      </c>
      <c r="AG1192" s="35" t="s">
        <v>673</v>
      </c>
      <c r="AH1192" s="154" t="s">
        <v>1797</v>
      </c>
      <c r="AO1192" s="35" t="s">
        <v>969</v>
      </c>
      <c r="AP1192" s="35" t="s">
        <v>969</v>
      </c>
      <c r="AQ1192" s="35" t="s">
        <v>212</v>
      </c>
      <c r="AR1192" s="35" t="s">
        <v>192</v>
      </c>
      <c r="AS1192" s="35">
        <v>4</v>
      </c>
      <c r="AT1192" s="35">
        <v>4</v>
      </c>
      <c r="AU1192" s="35" t="s">
        <v>169</v>
      </c>
      <c r="AZ1192" s="35" t="s">
        <v>965</v>
      </c>
      <c r="BD1192" s="35">
        <v>1636</v>
      </c>
      <c r="BE1192" s="35">
        <v>1897</v>
      </c>
      <c r="FR1192" s="35" t="s">
        <v>977</v>
      </c>
      <c r="FT1192" s="35">
        <v>57</v>
      </c>
    </row>
    <row r="1193" spans="1:176" s="35" customFormat="1" x14ac:dyDescent="0.25">
      <c r="A1193" s="35">
        <v>57</v>
      </c>
      <c r="B1193" s="35" t="s">
        <v>962</v>
      </c>
      <c r="C1193" s="35" t="s">
        <v>963</v>
      </c>
      <c r="D1193" s="35">
        <v>1990</v>
      </c>
      <c r="E1193" s="35">
        <v>1974</v>
      </c>
      <c r="F1193" s="35" t="s">
        <v>967</v>
      </c>
      <c r="G1193" s="35" t="s">
        <v>964</v>
      </c>
      <c r="H1193" s="35">
        <v>34.200000000000003</v>
      </c>
      <c r="I1193" s="35">
        <v>-90.58</v>
      </c>
      <c r="J1193" s="35">
        <v>55.3</v>
      </c>
      <c r="P1193" s="54">
        <v>2</v>
      </c>
      <c r="Q1193" s="54" t="s">
        <v>1000</v>
      </c>
      <c r="R1193" s="54"/>
      <c r="S1193" s="54" t="s">
        <v>1558</v>
      </c>
      <c r="T1193" s="54" t="s">
        <v>1558</v>
      </c>
      <c r="U1193" s="54" t="s">
        <v>1558</v>
      </c>
      <c r="V1193" s="54" t="s">
        <v>1905</v>
      </c>
      <c r="W1193" s="35">
        <v>1.325</v>
      </c>
      <c r="Z1193" s="35" t="s">
        <v>531</v>
      </c>
      <c r="AD1193" s="35" t="s">
        <v>1509</v>
      </c>
      <c r="AE1193" s="35" t="s">
        <v>966</v>
      </c>
      <c r="AF1193" s="152" t="s">
        <v>666</v>
      </c>
      <c r="AG1193" s="35" t="s">
        <v>673</v>
      </c>
      <c r="AH1193" s="154" t="s">
        <v>1797</v>
      </c>
      <c r="AO1193" s="35" t="s">
        <v>969</v>
      </c>
      <c r="AP1193" s="35" t="s">
        <v>969</v>
      </c>
      <c r="AQ1193" s="35" t="s">
        <v>212</v>
      </c>
      <c r="AR1193" s="35" t="s">
        <v>192</v>
      </c>
      <c r="AS1193" s="35">
        <v>4</v>
      </c>
      <c r="AT1193" s="35">
        <v>4</v>
      </c>
      <c r="AU1193" s="35" t="s">
        <v>169</v>
      </c>
      <c r="AZ1193" s="35" t="s">
        <v>965</v>
      </c>
      <c r="BD1193" s="35">
        <v>1636</v>
      </c>
      <c r="BE1193" s="35">
        <v>1515</v>
      </c>
      <c r="FR1193" s="35" t="s">
        <v>977</v>
      </c>
      <c r="FT1193" s="35">
        <v>57</v>
      </c>
    </row>
    <row r="1194" spans="1:176" s="47" customFormat="1" x14ac:dyDescent="0.25">
      <c r="A1194" s="47">
        <v>57</v>
      </c>
      <c r="B1194" s="47" t="s">
        <v>962</v>
      </c>
      <c r="C1194" s="47" t="s">
        <v>963</v>
      </c>
      <c r="D1194" s="47">
        <v>1990</v>
      </c>
      <c r="E1194" s="47">
        <v>1975</v>
      </c>
      <c r="F1194" s="47" t="s">
        <v>967</v>
      </c>
      <c r="G1194" s="47" t="s">
        <v>964</v>
      </c>
      <c r="H1194" s="47">
        <v>34.200000000000003</v>
      </c>
      <c r="I1194" s="47">
        <v>-90.58</v>
      </c>
      <c r="J1194" s="47">
        <v>55.3</v>
      </c>
      <c r="P1194" s="82">
        <v>3</v>
      </c>
      <c r="Q1194" s="47" t="s">
        <v>1002</v>
      </c>
      <c r="R1194" s="82"/>
      <c r="S1194" s="82" t="s">
        <v>1558</v>
      </c>
      <c r="T1194" s="82" t="s">
        <v>1558</v>
      </c>
      <c r="U1194" s="82" t="s">
        <v>1558</v>
      </c>
      <c r="V1194" s="82" t="s">
        <v>1905</v>
      </c>
      <c r="W1194" s="47">
        <v>1.325</v>
      </c>
      <c r="Z1194" s="47" t="s">
        <v>531</v>
      </c>
      <c r="AD1194" s="47" t="s">
        <v>1509</v>
      </c>
      <c r="AE1194" s="47" t="s">
        <v>159</v>
      </c>
      <c r="AF1194" s="152" t="s">
        <v>159</v>
      </c>
      <c r="AG1194" s="47" t="s">
        <v>673</v>
      </c>
      <c r="AH1194" s="154" t="s">
        <v>1797</v>
      </c>
      <c r="AO1194" s="47" t="s">
        <v>970</v>
      </c>
      <c r="AP1194" s="47" t="s">
        <v>970</v>
      </c>
      <c r="AQ1194" s="47" t="s">
        <v>212</v>
      </c>
      <c r="AR1194" s="47" t="s">
        <v>192</v>
      </c>
      <c r="AS1194" s="47">
        <v>4</v>
      </c>
      <c r="AT1194" s="47">
        <v>4</v>
      </c>
      <c r="AU1194" s="47" t="s">
        <v>169</v>
      </c>
      <c r="AZ1194" s="47" t="s">
        <v>965</v>
      </c>
      <c r="BD1194" s="47">
        <v>2328</v>
      </c>
      <c r="BE1194" s="47">
        <v>2415</v>
      </c>
      <c r="FR1194" s="47" t="s">
        <v>977</v>
      </c>
      <c r="FT1194" s="47">
        <v>57</v>
      </c>
    </row>
    <row r="1195" spans="1:176" s="47" customFormat="1" x14ac:dyDescent="0.25">
      <c r="A1195" s="47">
        <v>57</v>
      </c>
      <c r="B1195" s="47" t="s">
        <v>962</v>
      </c>
      <c r="C1195" s="47" t="s">
        <v>963</v>
      </c>
      <c r="D1195" s="47">
        <v>1990</v>
      </c>
      <c r="E1195" s="47">
        <v>1975</v>
      </c>
      <c r="F1195" s="47" t="s">
        <v>967</v>
      </c>
      <c r="G1195" s="47" t="s">
        <v>964</v>
      </c>
      <c r="H1195" s="47">
        <v>34.200000000000003</v>
      </c>
      <c r="I1195" s="47">
        <v>-90.58</v>
      </c>
      <c r="J1195" s="47">
        <v>55.3</v>
      </c>
      <c r="P1195" s="82">
        <v>3</v>
      </c>
      <c r="Q1195" s="47" t="s">
        <v>1002</v>
      </c>
      <c r="R1195" s="82"/>
      <c r="S1195" s="82" t="s">
        <v>1558</v>
      </c>
      <c r="T1195" s="82" t="s">
        <v>1558</v>
      </c>
      <c r="U1195" s="82" t="s">
        <v>1558</v>
      </c>
      <c r="V1195" s="82" t="s">
        <v>1905</v>
      </c>
      <c r="W1195" s="47">
        <v>1.325</v>
      </c>
      <c r="Z1195" s="47" t="s">
        <v>531</v>
      </c>
      <c r="AD1195" s="47" t="s">
        <v>1509</v>
      </c>
      <c r="AE1195" s="47" t="s">
        <v>281</v>
      </c>
      <c r="AF1195" s="152" t="s">
        <v>666</v>
      </c>
      <c r="AG1195" s="47" t="s">
        <v>673</v>
      </c>
      <c r="AH1195" s="154" t="s">
        <v>1797</v>
      </c>
      <c r="AO1195" s="47" t="s">
        <v>970</v>
      </c>
      <c r="AP1195" s="47" t="s">
        <v>970</v>
      </c>
      <c r="AQ1195" s="47" t="s">
        <v>212</v>
      </c>
      <c r="AR1195" s="47" t="s">
        <v>192</v>
      </c>
      <c r="AS1195" s="47">
        <v>4</v>
      </c>
      <c r="AT1195" s="47">
        <v>4</v>
      </c>
      <c r="AU1195" s="47" t="s">
        <v>169</v>
      </c>
      <c r="AZ1195" s="47" t="s">
        <v>965</v>
      </c>
      <c r="BD1195" s="47">
        <v>2328</v>
      </c>
      <c r="BE1195" s="47">
        <v>2646</v>
      </c>
      <c r="FR1195" s="47" t="s">
        <v>977</v>
      </c>
      <c r="FT1195" s="47">
        <v>57</v>
      </c>
    </row>
    <row r="1196" spans="1:176" s="47" customFormat="1" x14ac:dyDescent="0.25">
      <c r="A1196" s="47">
        <v>57</v>
      </c>
      <c r="B1196" s="47" t="s">
        <v>962</v>
      </c>
      <c r="C1196" s="47" t="s">
        <v>963</v>
      </c>
      <c r="D1196" s="47">
        <v>1990</v>
      </c>
      <c r="E1196" s="47">
        <v>1975</v>
      </c>
      <c r="F1196" s="47" t="s">
        <v>967</v>
      </c>
      <c r="G1196" s="47" t="s">
        <v>964</v>
      </c>
      <c r="H1196" s="47">
        <v>34.200000000000003</v>
      </c>
      <c r="I1196" s="47">
        <v>-90.58</v>
      </c>
      <c r="J1196" s="47">
        <v>55.3</v>
      </c>
      <c r="P1196" s="82">
        <v>3</v>
      </c>
      <c r="Q1196" s="47" t="s">
        <v>1002</v>
      </c>
      <c r="R1196" s="82"/>
      <c r="S1196" s="82" t="s">
        <v>1558</v>
      </c>
      <c r="T1196" s="82" t="s">
        <v>1558</v>
      </c>
      <c r="U1196" s="82" t="s">
        <v>1558</v>
      </c>
      <c r="V1196" s="82" t="s">
        <v>1905</v>
      </c>
      <c r="W1196" s="47">
        <v>1.325</v>
      </c>
      <c r="Z1196" s="47" t="s">
        <v>531</v>
      </c>
      <c r="AD1196" s="47" t="s">
        <v>1509</v>
      </c>
      <c r="AE1196" s="47" t="s">
        <v>966</v>
      </c>
      <c r="AF1196" s="152" t="s">
        <v>666</v>
      </c>
      <c r="AG1196" s="47" t="s">
        <v>673</v>
      </c>
      <c r="AH1196" s="154" t="s">
        <v>1797</v>
      </c>
      <c r="AO1196" s="47" t="s">
        <v>970</v>
      </c>
      <c r="AP1196" s="47" t="s">
        <v>970</v>
      </c>
      <c r="AQ1196" s="47" t="s">
        <v>212</v>
      </c>
      <c r="AR1196" s="47" t="s">
        <v>192</v>
      </c>
      <c r="AS1196" s="47">
        <v>4</v>
      </c>
      <c r="AT1196" s="47">
        <v>4</v>
      </c>
      <c r="AU1196" s="47" t="s">
        <v>169</v>
      </c>
      <c r="AZ1196" s="47" t="s">
        <v>965</v>
      </c>
      <c r="BD1196" s="47">
        <v>2328</v>
      </c>
      <c r="BE1196" s="47">
        <v>2599</v>
      </c>
      <c r="FR1196" s="47" t="s">
        <v>977</v>
      </c>
      <c r="FT1196" s="47">
        <v>57</v>
      </c>
    </row>
    <row r="1197" spans="1:176" s="91" customFormat="1" x14ac:dyDescent="0.25">
      <c r="A1197" s="91">
        <v>57</v>
      </c>
      <c r="B1197" s="91" t="s">
        <v>962</v>
      </c>
      <c r="C1197" s="91" t="s">
        <v>963</v>
      </c>
      <c r="D1197" s="91">
        <v>1990</v>
      </c>
      <c r="E1197" s="91">
        <v>1977</v>
      </c>
      <c r="F1197" s="91" t="s">
        <v>967</v>
      </c>
      <c r="G1197" s="91" t="s">
        <v>964</v>
      </c>
      <c r="H1197" s="91">
        <v>34.200000000000003</v>
      </c>
      <c r="I1197" s="91">
        <v>-90.58</v>
      </c>
      <c r="J1197" s="91">
        <v>55.3</v>
      </c>
      <c r="P1197" s="92">
        <v>5</v>
      </c>
      <c r="Q1197" s="92" t="s">
        <v>1003</v>
      </c>
      <c r="R1197" s="92"/>
      <c r="S1197" s="92" t="s">
        <v>1558</v>
      </c>
      <c r="T1197" s="92" t="s">
        <v>1558</v>
      </c>
      <c r="U1197" s="92" t="s">
        <v>1558</v>
      </c>
      <c r="V1197" s="92" t="s">
        <v>1905</v>
      </c>
      <c r="W1197" s="91">
        <v>1.325</v>
      </c>
      <c r="Z1197" s="91" t="s">
        <v>531</v>
      </c>
      <c r="AD1197" s="47" t="s">
        <v>1509</v>
      </c>
      <c r="AE1197" s="91" t="s">
        <v>159</v>
      </c>
      <c r="AF1197" s="152" t="s">
        <v>159</v>
      </c>
      <c r="AG1197" s="91" t="s">
        <v>673</v>
      </c>
      <c r="AH1197" s="154" t="s">
        <v>1797</v>
      </c>
      <c r="AO1197" s="91" t="s">
        <v>970</v>
      </c>
      <c r="AP1197" s="91" t="s">
        <v>970</v>
      </c>
      <c r="AQ1197" s="91" t="s">
        <v>212</v>
      </c>
      <c r="AR1197" s="91" t="s">
        <v>192</v>
      </c>
      <c r="AS1197" s="91">
        <v>4</v>
      </c>
      <c r="AT1197" s="91">
        <v>4</v>
      </c>
      <c r="AU1197" s="91" t="s">
        <v>169</v>
      </c>
      <c r="AW1197" s="91">
        <v>3863</v>
      </c>
      <c r="AZ1197" s="91" t="s">
        <v>965</v>
      </c>
      <c r="BD1197" s="91">
        <v>2175</v>
      </c>
      <c r="BE1197" s="91">
        <v>2040</v>
      </c>
      <c r="FR1197" s="91" t="s">
        <v>977</v>
      </c>
      <c r="FT1197" s="91">
        <v>57</v>
      </c>
    </row>
    <row r="1198" spans="1:176" s="91" customFormat="1" x14ac:dyDescent="0.25">
      <c r="A1198" s="91">
        <v>57</v>
      </c>
      <c r="B1198" s="91" t="s">
        <v>962</v>
      </c>
      <c r="C1198" s="91" t="s">
        <v>963</v>
      </c>
      <c r="D1198" s="91">
        <v>1990</v>
      </c>
      <c r="E1198" s="91">
        <v>1977</v>
      </c>
      <c r="F1198" s="91" t="s">
        <v>967</v>
      </c>
      <c r="G1198" s="91" t="s">
        <v>964</v>
      </c>
      <c r="H1198" s="91">
        <v>34.200000000000003</v>
      </c>
      <c r="I1198" s="91">
        <v>-90.58</v>
      </c>
      <c r="J1198" s="91">
        <v>55.3</v>
      </c>
      <c r="P1198" s="92">
        <v>5</v>
      </c>
      <c r="Q1198" s="92" t="s">
        <v>1003</v>
      </c>
      <c r="R1198" s="92"/>
      <c r="S1198" s="92" t="s">
        <v>1558</v>
      </c>
      <c r="T1198" s="92" t="s">
        <v>1558</v>
      </c>
      <c r="U1198" s="92" t="s">
        <v>1558</v>
      </c>
      <c r="V1198" s="92" t="s">
        <v>1905</v>
      </c>
      <c r="W1198" s="91">
        <v>1.325</v>
      </c>
      <c r="Z1198" s="91" t="s">
        <v>531</v>
      </c>
      <c r="AD1198" s="47" t="s">
        <v>1509</v>
      </c>
      <c r="AE1198" s="91" t="s">
        <v>281</v>
      </c>
      <c r="AF1198" s="152" t="s">
        <v>666</v>
      </c>
      <c r="AG1198" s="91" t="s">
        <v>673</v>
      </c>
      <c r="AH1198" s="154" t="s">
        <v>1797</v>
      </c>
      <c r="AO1198" s="91" t="s">
        <v>970</v>
      </c>
      <c r="AP1198" s="91" t="s">
        <v>970</v>
      </c>
      <c r="AQ1198" s="91" t="s">
        <v>212</v>
      </c>
      <c r="AR1198" s="91" t="s">
        <v>192</v>
      </c>
      <c r="AS1198" s="91">
        <v>4</v>
      </c>
      <c r="AT1198" s="91">
        <v>4</v>
      </c>
      <c r="AU1198" s="91" t="s">
        <v>169</v>
      </c>
      <c r="AW1198" s="91">
        <v>2507</v>
      </c>
      <c r="AZ1198" s="91" t="s">
        <v>965</v>
      </c>
      <c r="BD1198" s="91">
        <v>2175</v>
      </c>
      <c r="BE1198" s="91">
        <v>2185</v>
      </c>
      <c r="FR1198" s="91" t="s">
        <v>977</v>
      </c>
      <c r="FT1198" s="91">
        <v>57</v>
      </c>
    </row>
    <row r="1199" spans="1:176" s="91" customFormat="1" x14ac:dyDescent="0.25">
      <c r="A1199" s="91">
        <v>57</v>
      </c>
      <c r="B1199" s="91" t="s">
        <v>962</v>
      </c>
      <c r="C1199" s="91" t="s">
        <v>963</v>
      </c>
      <c r="D1199" s="91">
        <v>1990</v>
      </c>
      <c r="E1199" s="91">
        <v>1977</v>
      </c>
      <c r="F1199" s="91" t="s">
        <v>967</v>
      </c>
      <c r="G1199" s="91" t="s">
        <v>964</v>
      </c>
      <c r="H1199" s="91">
        <v>34.200000000000003</v>
      </c>
      <c r="I1199" s="91">
        <v>-90.58</v>
      </c>
      <c r="J1199" s="91">
        <v>55.3</v>
      </c>
      <c r="P1199" s="92">
        <v>5</v>
      </c>
      <c r="Q1199" s="92" t="s">
        <v>1003</v>
      </c>
      <c r="R1199" s="92"/>
      <c r="S1199" s="92" t="s">
        <v>1558</v>
      </c>
      <c r="T1199" s="92" t="s">
        <v>1558</v>
      </c>
      <c r="U1199" s="92" t="s">
        <v>1558</v>
      </c>
      <c r="V1199" s="92" t="s">
        <v>1905</v>
      </c>
      <c r="W1199" s="91">
        <v>1.325</v>
      </c>
      <c r="Z1199" s="91" t="s">
        <v>531</v>
      </c>
      <c r="AD1199" s="47" t="s">
        <v>1509</v>
      </c>
      <c r="AE1199" s="91" t="s">
        <v>1698</v>
      </c>
      <c r="AF1199" s="152" t="s">
        <v>1762</v>
      </c>
      <c r="AG1199" s="91" t="s">
        <v>673</v>
      </c>
      <c r="AH1199" s="154" t="s">
        <v>1797</v>
      </c>
      <c r="AO1199" s="91" t="s">
        <v>970</v>
      </c>
      <c r="AP1199" s="91" t="s">
        <v>970</v>
      </c>
      <c r="AQ1199" s="91" t="s">
        <v>212</v>
      </c>
      <c r="AR1199" s="91" t="s">
        <v>192</v>
      </c>
      <c r="AS1199" s="91">
        <v>4</v>
      </c>
      <c r="AT1199" s="91">
        <v>4</v>
      </c>
      <c r="AU1199" s="91" t="s">
        <v>169</v>
      </c>
      <c r="AW1199" s="91">
        <v>3863</v>
      </c>
      <c r="AZ1199" s="91" t="s">
        <v>965</v>
      </c>
      <c r="BD1199" s="91">
        <v>2175</v>
      </c>
      <c r="BE1199" s="91">
        <v>2409</v>
      </c>
      <c r="FR1199" s="91" t="s">
        <v>977</v>
      </c>
      <c r="FT1199" s="91">
        <v>57</v>
      </c>
    </row>
    <row r="1200" spans="1:176" s="35" customFormat="1" x14ac:dyDescent="0.25">
      <c r="A1200" s="35">
        <v>57</v>
      </c>
      <c r="B1200" s="35" t="s">
        <v>962</v>
      </c>
      <c r="C1200" s="35" t="s">
        <v>963</v>
      </c>
      <c r="D1200" s="35">
        <v>1990</v>
      </c>
      <c r="E1200" s="35">
        <v>1978</v>
      </c>
      <c r="F1200" s="35" t="s">
        <v>967</v>
      </c>
      <c r="G1200" s="35" t="s">
        <v>964</v>
      </c>
      <c r="H1200" s="35">
        <v>34.200000000000003</v>
      </c>
      <c r="I1200" s="35">
        <v>-90.58</v>
      </c>
      <c r="J1200" s="35">
        <v>55.3</v>
      </c>
      <c r="P1200" s="54">
        <v>6</v>
      </c>
      <c r="Q1200" s="54" t="s">
        <v>1004</v>
      </c>
      <c r="R1200" s="54"/>
      <c r="S1200" s="54" t="s">
        <v>1558</v>
      </c>
      <c r="T1200" s="54" t="s">
        <v>1558</v>
      </c>
      <c r="U1200" s="54" t="s">
        <v>1558</v>
      </c>
      <c r="V1200" s="54" t="s">
        <v>1905</v>
      </c>
      <c r="W1200" s="35">
        <v>1.325</v>
      </c>
      <c r="Z1200" s="35" t="s">
        <v>531</v>
      </c>
      <c r="AD1200" s="35" t="s">
        <v>1509</v>
      </c>
      <c r="AE1200" s="35" t="s">
        <v>159</v>
      </c>
      <c r="AF1200" s="152" t="s">
        <v>159</v>
      </c>
      <c r="AG1200" s="35" t="s">
        <v>673</v>
      </c>
      <c r="AH1200" s="154" t="s">
        <v>1797</v>
      </c>
      <c r="AO1200" s="35" t="s">
        <v>971</v>
      </c>
      <c r="AP1200" s="35" t="s">
        <v>971</v>
      </c>
      <c r="AQ1200" s="35" t="s">
        <v>212</v>
      </c>
      <c r="AR1200" s="35" t="s">
        <v>192</v>
      </c>
      <c r="AS1200" s="35">
        <v>4</v>
      </c>
      <c r="AT1200" s="35">
        <v>4</v>
      </c>
      <c r="AU1200" s="35" t="s">
        <v>169</v>
      </c>
      <c r="AW1200" s="35">
        <v>4242</v>
      </c>
      <c r="AZ1200" s="35" t="s">
        <v>965</v>
      </c>
      <c r="BD1200" s="35">
        <v>1719</v>
      </c>
      <c r="BE1200" s="35">
        <v>1771</v>
      </c>
      <c r="FR1200" s="35" t="s">
        <v>977</v>
      </c>
      <c r="FT1200" s="35">
        <v>57</v>
      </c>
    </row>
    <row r="1201" spans="1:176" s="35" customFormat="1" x14ac:dyDescent="0.25">
      <c r="A1201" s="35">
        <v>57</v>
      </c>
      <c r="B1201" s="35" t="s">
        <v>962</v>
      </c>
      <c r="C1201" s="35" t="s">
        <v>963</v>
      </c>
      <c r="D1201" s="35">
        <v>1990</v>
      </c>
      <c r="E1201" s="35">
        <v>1978</v>
      </c>
      <c r="F1201" s="35" t="s">
        <v>967</v>
      </c>
      <c r="G1201" s="35" t="s">
        <v>964</v>
      </c>
      <c r="H1201" s="35">
        <v>34.200000000000003</v>
      </c>
      <c r="I1201" s="35">
        <v>-90.58</v>
      </c>
      <c r="J1201" s="35">
        <v>55.3</v>
      </c>
      <c r="P1201" s="54">
        <v>6</v>
      </c>
      <c r="Q1201" s="54" t="s">
        <v>1004</v>
      </c>
      <c r="R1201" s="54"/>
      <c r="S1201" s="54" t="s">
        <v>1558</v>
      </c>
      <c r="T1201" s="54" t="s">
        <v>1558</v>
      </c>
      <c r="U1201" s="54" t="s">
        <v>1558</v>
      </c>
      <c r="V1201" s="54" t="s">
        <v>1905</v>
      </c>
      <c r="W1201" s="35">
        <v>1.325</v>
      </c>
      <c r="Z1201" s="35" t="s">
        <v>531</v>
      </c>
      <c r="AD1201" s="35" t="s">
        <v>1509</v>
      </c>
      <c r="AE1201" s="35" t="s">
        <v>281</v>
      </c>
      <c r="AF1201" s="152" t="s">
        <v>666</v>
      </c>
      <c r="AG1201" s="35" t="s">
        <v>673</v>
      </c>
      <c r="AH1201" s="154" t="s">
        <v>1797</v>
      </c>
      <c r="AO1201" s="35" t="s">
        <v>971</v>
      </c>
      <c r="AP1201" s="35" t="s">
        <v>971</v>
      </c>
      <c r="AQ1201" s="35" t="s">
        <v>212</v>
      </c>
      <c r="AR1201" s="35" t="s">
        <v>192</v>
      </c>
      <c r="AS1201" s="35">
        <v>4</v>
      </c>
      <c r="AT1201" s="35">
        <v>4</v>
      </c>
      <c r="AU1201" s="35" t="s">
        <v>169</v>
      </c>
      <c r="AW1201" s="35">
        <v>1992</v>
      </c>
      <c r="AZ1201" s="35" t="s">
        <v>965</v>
      </c>
      <c r="BD1201" s="35">
        <v>1719</v>
      </c>
      <c r="BE1201" s="35">
        <v>2120</v>
      </c>
      <c r="FR1201" s="35" t="s">
        <v>977</v>
      </c>
      <c r="FT1201" s="35">
        <v>57</v>
      </c>
    </row>
    <row r="1202" spans="1:176" s="35" customFormat="1" x14ac:dyDescent="0.25">
      <c r="A1202" s="35">
        <v>57</v>
      </c>
      <c r="B1202" s="35" t="s">
        <v>962</v>
      </c>
      <c r="C1202" s="35" t="s">
        <v>963</v>
      </c>
      <c r="D1202" s="35">
        <v>1990</v>
      </c>
      <c r="E1202" s="35">
        <v>1978</v>
      </c>
      <c r="F1202" s="35" t="s">
        <v>967</v>
      </c>
      <c r="G1202" s="35" t="s">
        <v>964</v>
      </c>
      <c r="H1202" s="35">
        <v>34.200000000000003</v>
      </c>
      <c r="I1202" s="35">
        <v>-90.58</v>
      </c>
      <c r="J1202" s="35">
        <v>55.3</v>
      </c>
      <c r="P1202" s="54">
        <v>6</v>
      </c>
      <c r="Q1202" s="54" t="s">
        <v>1004</v>
      </c>
      <c r="R1202" s="54"/>
      <c r="S1202" s="54" t="s">
        <v>1558</v>
      </c>
      <c r="T1202" s="54" t="s">
        <v>1558</v>
      </c>
      <c r="U1202" s="54" t="s">
        <v>1558</v>
      </c>
      <c r="V1202" s="54" t="s">
        <v>1905</v>
      </c>
      <c r="W1202" s="35">
        <v>1.325</v>
      </c>
      <c r="Z1202" s="35" t="s">
        <v>531</v>
      </c>
      <c r="AD1202" s="35" t="s">
        <v>1509</v>
      </c>
      <c r="AE1202" s="35" t="s">
        <v>1698</v>
      </c>
      <c r="AF1202" s="152" t="s">
        <v>1762</v>
      </c>
      <c r="AG1202" s="35" t="s">
        <v>673</v>
      </c>
      <c r="AH1202" s="154" t="s">
        <v>1797</v>
      </c>
      <c r="AO1202" s="35" t="s">
        <v>971</v>
      </c>
      <c r="AP1202" s="35" t="s">
        <v>971</v>
      </c>
      <c r="AQ1202" s="35" t="s">
        <v>212</v>
      </c>
      <c r="AR1202" s="35" t="s">
        <v>192</v>
      </c>
      <c r="AS1202" s="35">
        <v>4</v>
      </c>
      <c r="AT1202" s="35">
        <v>4</v>
      </c>
      <c r="AU1202" s="35" t="s">
        <v>169</v>
      </c>
      <c r="AW1202" s="35">
        <v>4201</v>
      </c>
      <c r="AZ1202" s="35" t="s">
        <v>965</v>
      </c>
      <c r="BD1202" s="35">
        <v>1719</v>
      </c>
      <c r="BE1202" s="35">
        <v>2147</v>
      </c>
      <c r="FR1202" s="35" t="s">
        <v>977</v>
      </c>
      <c r="FT1202" s="35">
        <v>57</v>
      </c>
    </row>
    <row r="1203" spans="1:176" s="47" customFormat="1" x14ac:dyDescent="0.25">
      <c r="A1203" s="47">
        <v>57</v>
      </c>
      <c r="B1203" s="47" t="s">
        <v>962</v>
      </c>
      <c r="C1203" s="47" t="s">
        <v>963</v>
      </c>
      <c r="D1203" s="47">
        <v>1990</v>
      </c>
      <c r="E1203" s="47">
        <v>1979</v>
      </c>
      <c r="F1203" s="47" t="s">
        <v>967</v>
      </c>
      <c r="G1203" s="47" t="s">
        <v>964</v>
      </c>
      <c r="H1203" s="47">
        <v>34.200000000000003</v>
      </c>
      <c r="I1203" s="47">
        <v>-90.58</v>
      </c>
      <c r="J1203" s="47">
        <v>55.3</v>
      </c>
      <c r="P1203" s="82">
        <v>7</v>
      </c>
      <c r="Q1203" s="82" t="s">
        <v>1005</v>
      </c>
      <c r="R1203" s="82"/>
      <c r="S1203" s="82" t="s">
        <v>1558</v>
      </c>
      <c r="T1203" s="82" t="s">
        <v>1558</v>
      </c>
      <c r="U1203" s="82" t="s">
        <v>1558</v>
      </c>
      <c r="V1203" s="82" t="s">
        <v>1905</v>
      </c>
      <c r="W1203" s="47">
        <v>1.325</v>
      </c>
      <c r="Z1203" s="47" t="s">
        <v>531</v>
      </c>
      <c r="AD1203" s="47" t="s">
        <v>1509</v>
      </c>
      <c r="AE1203" s="47" t="s">
        <v>281</v>
      </c>
      <c r="AF1203" s="152" t="s">
        <v>666</v>
      </c>
      <c r="AG1203" s="47" t="s">
        <v>673</v>
      </c>
      <c r="AH1203" s="154" t="s">
        <v>1797</v>
      </c>
      <c r="AO1203" s="47" t="s">
        <v>971</v>
      </c>
      <c r="AP1203" s="47" t="s">
        <v>971</v>
      </c>
      <c r="AQ1203" s="47" t="s">
        <v>212</v>
      </c>
      <c r="AR1203" s="47" t="s">
        <v>192</v>
      </c>
      <c r="AS1203" s="47">
        <v>4</v>
      </c>
      <c r="AT1203" s="47">
        <v>4</v>
      </c>
      <c r="AU1203" s="47" t="s">
        <v>169</v>
      </c>
      <c r="AZ1203" s="47" t="s">
        <v>965</v>
      </c>
      <c r="BD1203" s="47">
        <v>2135</v>
      </c>
      <c r="BE1203" s="47">
        <v>2158</v>
      </c>
      <c r="FR1203" s="47" t="s">
        <v>977</v>
      </c>
      <c r="FT1203" s="47">
        <v>57</v>
      </c>
    </row>
    <row r="1204" spans="1:176" s="95" customFormat="1" x14ac:dyDescent="0.25">
      <c r="A1204" s="95">
        <v>57</v>
      </c>
      <c r="B1204" s="95" t="s">
        <v>962</v>
      </c>
      <c r="C1204" s="95" t="s">
        <v>963</v>
      </c>
      <c r="D1204" s="95">
        <v>1990</v>
      </c>
      <c r="E1204" s="95">
        <v>1979</v>
      </c>
      <c r="F1204" s="95" t="s">
        <v>967</v>
      </c>
      <c r="G1204" s="95" t="s">
        <v>964</v>
      </c>
      <c r="H1204" s="95">
        <v>34.200000000000003</v>
      </c>
      <c r="I1204" s="95">
        <v>-90.58</v>
      </c>
      <c r="J1204" s="95">
        <v>55.3</v>
      </c>
      <c r="P1204" s="96">
        <v>7</v>
      </c>
      <c r="Q1204" s="96" t="s">
        <v>1005</v>
      </c>
      <c r="R1204" s="96"/>
      <c r="S1204" s="96" t="s">
        <v>1570</v>
      </c>
      <c r="T1204" s="96" t="s">
        <v>1558</v>
      </c>
      <c r="U1204" s="96" t="s">
        <v>1558</v>
      </c>
      <c r="V1204" s="96" t="s">
        <v>1910</v>
      </c>
      <c r="W1204" s="95">
        <v>1.325</v>
      </c>
      <c r="Z1204" s="95" t="s">
        <v>531</v>
      </c>
      <c r="AD1204" s="95" t="s">
        <v>1509</v>
      </c>
      <c r="AE1204" s="95" t="s">
        <v>1698</v>
      </c>
      <c r="AF1204" s="152" t="s">
        <v>1762</v>
      </c>
      <c r="AG1204" s="95" t="s">
        <v>673</v>
      </c>
      <c r="AH1204" s="154" t="s">
        <v>1797</v>
      </c>
      <c r="AO1204" s="95" t="s">
        <v>971</v>
      </c>
      <c r="AP1204" s="95" t="s">
        <v>971</v>
      </c>
      <c r="AQ1204" s="95" t="s">
        <v>212</v>
      </c>
      <c r="AR1204" s="95" t="s">
        <v>192</v>
      </c>
      <c r="AS1204" s="95">
        <v>4</v>
      </c>
      <c r="AT1204" s="95">
        <v>4</v>
      </c>
      <c r="AU1204" s="95" t="s">
        <v>169</v>
      </c>
      <c r="AZ1204" s="95" t="s">
        <v>965</v>
      </c>
      <c r="BD1204" s="95">
        <v>2135</v>
      </c>
      <c r="BE1204" s="95">
        <v>2430</v>
      </c>
      <c r="BG1204" s="95">
        <v>1.28</v>
      </c>
      <c r="BH1204" s="95">
        <v>1.26</v>
      </c>
      <c r="BJ1204" s="95">
        <v>1.4</v>
      </c>
      <c r="BK1204" s="95">
        <v>1.9</v>
      </c>
      <c r="BL1204" s="95" t="s">
        <v>1856</v>
      </c>
      <c r="CT1204" s="95">
        <v>2.08</v>
      </c>
      <c r="CU1204" s="95">
        <v>3.46</v>
      </c>
      <c r="DL1204" s="95">
        <f>0.295-0.07</f>
        <v>0.22499999999999998</v>
      </c>
      <c r="DM1204" s="95">
        <f>0.332-0.061</f>
        <v>0.27100000000000002</v>
      </c>
      <c r="DN1204" s="95" t="s">
        <v>979</v>
      </c>
      <c r="FR1204" s="95" t="s">
        <v>977</v>
      </c>
      <c r="FT1204" s="95">
        <v>57</v>
      </c>
    </row>
    <row r="1205" spans="1:176" s="47" customFormat="1" x14ac:dyDescent="0.25">
      <c r="A1205" s="47">
        <v>57</v>
      </c>
      <c r="B1205" s="47" t="s">
        <v>962</v>
      </c>
      <c r="C1205" s="47" t="s">
        <v>963</v>
      </c>
      <c r="D1205" s="47">
        <v>1990</v>
      </c>
      <c r="E1205" s="47">
        <v>1979</v>
      </c>
      <c r="F1205" s="47" t="s">
        <v>967</v>
      </c>
      <c r="G1205" s="47" t="s">
        <v>964</v>
      </c>
      <c r="H1205" s="47">
        <v>34.200000000000003</v>
      </c>
      <c r="I1205" s="47">
        <v>-90.58</v>
      </c>
      <c r="J1205" s="47">
        <v>55.3</v>
      </c>
      <c r="P1205" s="82">
        <v>7</v>
      </c>
      <c r="Q1205" s="82" t="s">
        <v>1005</v>
      </c>
      <c r="R1205" s="82"/>
      <c r="S1205" s="82" t="s">
        <v>1558</v>
      </c>
      <c r="T1205" s="82" t="s">
        <v>1558</v>
      </c>
      <c r="U1205" s="82" t="s">
        <v>1558</v>
      </c>
      <c r="V1205" s="82" t="s">
        <v>1905</v>
      </c>
      <c r="W1205" s="47">
        <v>1.325</v>
      </c>
      <c r="Z1205" s="47" t="s">
        <v>531</v>
      </c>
      <c r="AD1205" s="47" t="s">
        <v>1509</v>
      </c>
      <c r="AE1205" s="47" t="s">
        <v>1699</v>
      </c>
      <c r="AF1205" s="152" t="s">
        <v>1762</v>
      </c>
      <c r="AG1205" s="47" t="s">
        <v>673</v>
      </c>
      <c r="AH1205" s="154" t="s">
        <v>1797</v>
      </c>
      <c r="AO1205" s="47" t="s">
        <v>971</v>
      </c>
      <c r="AP1205" s="47" t="s">
        <v>971</v>
      </c>
      <c r="AQ1205" s="47" t="s">
        <v>212</v>
      </c>
      <c r="AR1205" s="47" t="s">
        <v>192</v>
      </c>
      <c r="AS1205" s="47">
        <v>4</v>
      </c>
      <c r="AT1205" s="47">
        <v>4</v>
      </c>
      <c r="AU1205" s="47" t="s">
        <v>169</v>
      </c>
      <c r="AZ1205" s="47" t="s">
        <v>965</v>
      </c>
      <c r="BD1205" s="47">
        <v>2135</v>
      </c>
      <c r="BE1205" s="47">
        <v>2043</v>
      </c>
      <c r="FR1205" s="47" t="s">
        <v>977</v>
      </c>
      <c r="FT1205" s="47">
        <v>57</v>
      </c>
    </row>
    <row r="1206" spans="1:176" s="35" customFormat="1" x14ac:dyDescent="0.25">
      <c r="A1206" s="35">
        <v>57</v>
      </c>
      <c r="B1206" s="35" t="s">
        <v>962</v>
      </c>
      <c r="C1206" s="35" t="s">
        <v>963</v>
      </c>
      <c r="D1206" s="35">
        <v>1990</v>
      </c>
      <c r="E1206" s="35">
        <v>1980</v>
      </c>
      <c r="F1206" s="35" t="s">
        <v>967</v>
      </c>
      <c r="G1206" s="35" t="s">
        <v>964</v>
      </c>
      <c r="H1206" s="35">
        <v>34.200000000000003</v>
      </c>
      <c r="I1206" s="35">
        <v>-90.58</v>
      </c>
      <c r="J1206" s="35">
        <v>55.3</v>
      </c>
      <c r="P1206" s="54">
        <v>8</v>
      </c>
      <c r="Q1206" s="54" t="s">
        <v>1006</v>
      </c>
      <c r="R1206" s="54"/>
      <c r="S1206" s="54" t="s">
        <v>1558</v>
      </c>
      <c r="T1206" s="54" t="s">
        <v>1558</v>
      </c>
      <c r="U1206" s="54" t="s">
        <v>1558</v>
      </c>
      <c r="V1206" s="54" t="s">
        <v>1905</v>
      </c>
      <c r="W1206" s="35">
        <v>1.325</v>
      </c>
      <c r="Z1206" s="35" t="s">
        <v>531</v>
      </c>
      <c r="AD1206" s="35" t="s">
        <v>1509</v>
      </c>
      <c r="AE1206" s="35" t="s">
        <v>281</v>
      </c>
      <c r="AF1206" s="152" t="s">
        <v>666</v>
      </c>
      <c r="AG1206" s="35" t="s">
        <v>673</v>
      </c>
      <c r="AH1206" s="154" t="s">
        <v>1797</v>
      </c>
      <c r="AO1206" s="35" t="s">
        <v>972</v>
      </c>
      <c r="AP1206" s="35" t="s">
        <v>972</v>
      </c>
      <c r="AQ1206" s="35" t="s">
        <v>212</v>
      </c>
      <c r="AR1206" s="35" t="s">
        <v>192</v>
      </c>
      <c r="AS1206" s="35">
        <v>4</v>
      </c>
      <c r="AT1206" s="35">
        <v>4</v>
      </c>
      <c r="AU1206" s="35" t="s">
        <v>169</v>
      </c>
      <c r="AZ1206" s="35" t="s">
        <v>965</v>
      </c>
      <c r="BD1206" s="35">
        <v>1796</v>
      </c>
      <c r="BE1206" s="35">
        <v>1921</v>
      </c>
      <c r="FR1206" s="35" t="s">
        <v>977</v>
      </c>
      <c r="FT1206" s="35">
        <v>57</v>
      </c>
    </row>
    <row r="1207" spans="1:176" s="95" customFormat="1" x14ac:dyDescent="0.25">
      <c r="A1207" s="95">
        <v>57</v>
      </c>
      <c r="B1207" s="95" t="s">
        <v>962</v>
      </c>
      <c r="C1207" s="95" t="s">
        <v>963</v>
      </c>
      <c r="D1207" s="95">
        <v>1990</v>
      </c>
      <c r="E1207" s="95">
        <v>1980</v>
      </c>
      <c r="F1207" s="95" t="s">
        <v>967</v>
      </c>
      <c r="G1207" s="95" t="s">
        <v>964</v>
      </c>
      <c r="H1207" s="95">
        <v>34.200000000000003</v>
      </c>
      <c r="I1207" s="95">
        <v>-90.58</v>
      </c>
      <c r="J1207" s="95">
        <v>55.3</v>
      </c>
      <c r="P1207" s="96">
        <v>8</v>
      </c>
      <c r="Q1207" s="96" t="s">
        <v>1006</v>
      </c>
      <c r="R1207" s="96"/>
      <c r="S1207" s="96" t="s">
        <v>1577</v>
      </c>
      <c r="T1207" s="96" t="s">
        <v>1558</v>
      </c>
      <c r="U1207" s="96" t="s">
        <v>1558</v>
      </c>
      <c r="V1207" s="96" t="s">
        <v>1910</v>
      </c>
      <c r="W1207" s="95">
        <v>1.325</v>
      </c>
      <c r="Z1207" s="95" t="s">
        <v>531</v>
      </c>
      <c r="AD1207" s="95" t="s">
        <v>1509</v>
      </c>
      <c r="AE1207" s="95" t="s">
        <v>1698</v>
      </c>
      <c r="AF1207" s="152" t="s">
        <v>1762</v>
      </c>
      <c r="AG1207" s="95" t="s">
        <v>673</v>
      </c>
      <c r="AH1207" s="154" t="s">
        <v>1797</v>
      </c>
      <c r="AO1207" s="95" t="s">
        <v>972</v>
      </c>
      <c r="AP1207" s="95" t="s">
        <v>972</v>
      </c>
      <c r="AQ1207" s="95" t="s">
        <v>212</v>
      </c>
      <c r="AR1207" s="95" t="s">
        <v>192</v>
      </c>
      <c r="AS1207" s="95">
        <v>4</v>
      </c>
      <c r="AT1207" s="95">
        <v>4</v>
      </c>
      <c r="AU1207" s="95" t="s">
        <v>169</v>
      </c>
      <c r="AZ1207" s="95" t="s">
        <v>965</v>
      </c>
      <c r="BD1207" s="95">
        <v>1796</v>
      </c>
      <c r="BE1207" s="95">
        <v>2110</v>
      </c>
      <c r="BG1207" s="95">
        <v>1.39</v>
      </c>
      <c r="BH1207" s="95">
        <v>1.29</v>
      </c>
      <c r="BJ1207" s="95">
        <v>1.1000000000000001</v>
      </c>
      <c r="BK1207" s="95">
        <v>1.3</v>
      </c>
      <c r="BL1207" s="95" t="s">
        <v>1856</v>
      </c>
      <c r="CT1207" s="95">
        <v>2.31</v>
      </c>
      <c r="CU1207" s="95">
        <v>4.49</v>
      </c>
      <c r="DL1207" s="95">
        <f>0.351-0.081</f>
        <v>0.26999999999999996</v>
      </c>
      <c r="DM1207" s="95">
        <f>0.312-0.071</f>
        <v>0.24099999999999999</v>
      </c>
      <c r="DN1207" s="95" t="s">
        <v>979</v>
      </c>
      <c r="FR1207" s="95" t="s">
        <v>977</v>
      </c>
      <c r="FT1207" s="95">
        <v>57</v>
      </c>
    </row>
    <row r="1208" spans="1:176" s="35" customFormat="1" x14ac:dyDescent="0.25">
      <c r="A1208" s="35">
        <v>57</v>
      </c>
      <c r="B1208" s="35" t="s">
        <v>962</v>
      </c>
      <c r="C1208" s="35" t="s">
        <v>963</v>
      </c>
      <c r="D1208" s="35">
        <v>1990</v>
      </c>
      <c r="E1208" s="35">
        <v>1980</v>
      </c>
      <c r="F1208" s="35" t="s">
        <v>967</v>
      </c>
      <c r="G1208" s="35" t="s">
        <v>964</v>
      </c>
      <c r="H1208" s="35">
        <v>34.200000000000003</v>
      </c>
      <c r="I1208" s="35">
        <v>-90.58</v>
      </c>
      <c r="J1208" s="35">
        <v>55.3</v>
      </c>
      <c r="P1208" s="54">
        <v>8</v>
      </c>
      <c r="Q1208" s="54" t="s">
        <v>1006</v>
      </c>
      <c r="R1208" s="54"/>
      <c r="S1208" s="54" t="s">
        <v>1558</v>
      </c>
      <c r="T1208" s="54" t="s">
        <v>1558</v>
      </c>
      <c r="U1208" s="54" t="s">
        <v>1558</v>
      </c>
      <c r="V1208" s="54" t="s">
        <v>1905</v>
      </c>
      <c r="W1208" s="35">
        <v>1.325</v>
      </c>
      <c r="Z1208" s="35" t="s">
        <v>531</v>
      </c>
      <c r="AD1208" s="35" t="s">
        <v>1509</v>
      </c>
      <c r="AE1208" s="35" t="s">
        <v>1699</v>
      </c>
      <c r="AF1208" s="152" t="s">
        <v>1762</v>
      </c>
      <c r="AG1208" s="35" t="s">
        <v>673</v>
      </c>
      <c r="AH1208" s="154" t="s">
        <v>1797</v>
      </c>
      <c r="AO1208" s="35" t="s">
        <v>972</v>
      </c>
      <c r="AP1208" s="35" t="s">
        <v>972</v>
      </c>
      <c r="AQ1208" s="35" t="s">
        <v>212</v>
      </c>
      <c r="AR1208" s="35" t="s">
        <v>192</v>
      </c>
      <c r="AS1208" s="35">
        <v>4</v>
      </c>
      <c r="AT1208" s="35">
        <v>4</v>
      </c>
      <c r="AU1208" s="35" t="s">
        <v>169</v>
      </c>
      <c r="AZ1208" s="35" t="s">
        <v>965</v>
      </c>
      <c r="BD1208" s="35">
        <v>1796</v>
      </c>
      <c r="BE1208" s="35">
        <v>1932</v>
      </c>
      <c r="FR1208" s="35" t="s">
        <v>977</v>
      </c>
      <c r="FT1208" s="35">
        <v>57</v>
      </c>
    </row>
    <row r="1209" spans="1:176" s="47" customFormat="1" x14ac:dyDescent="0.25">
      <c r="A1209" s="47">
        <v>57</v>
      </c>
      <c r="B1209" s="47" t="s">
        <v>962</v>
      </c>
      <c r="C1209" s="47" t="s">
        <v>963</v>
      </c>
      <c r="D1209" s="47">
        <v>1990</v>
      </c>
      <c r="E1209" s="47">
        <v>1981</v>
      </c>
      <c r="F1209" s="47" t="s">
        <v>967</v>
      </c>
      <c r="G1209" s="47" t="s">
        <v>964</v>
      </c>
      <c r="H1209" s="47">
        <v>34.200000000000003</v>
      </c>
      <c r="I1209" s="47">
        <v>-90.58</v>
      </c>
      <c r="J1209" s="47">
        <v>55.3</v>
      </c>
      <c r="P1209" s="82">
        <v>9</v>
      </c>
      <c r="Q1209" s="82" t="s">
        <v>1007</v>
      </c>
      <c r="R1209" s="82"/>
      <c r="S1209" s="82" t="s">
        <v>1558</v>
      </c>
      <c r="T1209" s="82" t="s">
        <v>1558</v>
      </c>
      <c r="U1209" s="82" t="s">
        <v>1558</v>
      </c>
      <c r="V1209" s="82" t="s">
        <v>1905</v>
      </c>
      <c r="W1209" s="47">
        <v>1.325</v>
      </c>
      <c r="Z1209" s="47" t="s">
        <v>531</v>
      </c>
      <c r="AD1209" s="47" t="s">
        <v>1509</v>
      </c>
      <c r="AE1209" s="47" t="s">
        <v>281</v>
      </c>
      <c r="AF1209" s="152" t="s">
        <v>666</v>
      </c>
      <c r="AG1209" s="47" t="s">
        <v>673</v>
      </c>
      <c r="AH1209" s="154" t="s">
        <v>1797</v>
      </c>
      <c r="AO1209" s="47" t="s">
        <v>973</v>
      </c>
      <c r="AP1209" s="47" t="s">
        <v>973</v>
      </c>
      <c r="AQ1209" s="47" t="s">
        <v>212</v>
      </c>
      <c r="AR1209" s="47" t="s">
        <v>192</v>
      </c>
      <c r="AS1209" s="47">
        <v>4</v>
      </c>
      <c r="AT1209" s="47">
        <v>4</v>
      </c>
      <c r="AU1209" s="47" t="s">
        <v>169</v>
      </c>
      <c r="AZ1209" s="47" t="s">
        <v>965</v>
      </c>
      <c r="BD1209" s="47">
        <v>1944</v>
      </c>
      <c r="BE1209" s="47">
        <v>2782</v>
      </c>
      <c r="FR1209" s="47" t="s">
        <v>977</v>
      </c>
      <c r="FT1209" s="47">
        <v>57</v>
      </c>
    </row>
    <row r="1210" spans="1:176" s="95" customFormat="1" x14ac:dyDescent="0.25">
      <c r="A1210" s="95">
        <v>57</v>
      </c>
      <c r="B1210" s="95" t="s">
        <v>962</v>
      </c>
      <c r="C1210" s="95" t="s">
        <v>963</v>
      </c>
      <c r="D1210" s="95">
        <v>1990</v>
      </c>
      <c r="E1210" s="95">
        <v>1981</v>
      </c>
      <c r="F1210" s="95" t="s">
        <v>967</v>
      </c>
      <c r="G1210" s="95" t="s">
        <v>964</v>
      </c>
      <c r="H1210" s="95">
        <v>34.200000000000003</v>
      </c>
      <c r="I1210" s="95">
        <v>-90.58</v>
      </c>
      <c r="J1210" s="95">
        <v>55.3</v>
      </c>
      <c r="P1210" s="96">
        <v>9</v>
      </c>
      <c r="Q1210" s="96" t="s">
        <v>1007</v>
      </c>
      <c r="R1210" s="96"/>
      <c r="S1210" s="96" t="s">
        <v>1585</v>
      </c>
      <c r="T1210" s="96" t="s">
        <v>1558</v>
      </c>
      <c r="U1210" s="96" t="s">
        <v>1558</v>
      </c>
      <c r="V1210" s="96" t="s">
        <v>1910</v>
      </c>
      <c r="W1210" s="95">
        <v>1.325</v>
      </c>
      <c r="Z1210" s="95" t="s">
        <v>531</v>
      </c>
      <c r="AD1210" s="95" t="s">
        <v>1509</v>
      </c>
      <c r="AE1210" s="95" t="s">
        <v>1698</v>
      </c>
      <c r="AF1210" s="152" t="s">
        <v>1762</v>
      </c>
      <c r="AG1210" s="95" t="s">
        <v>673</v>
      </c>
      <c r="AH1210" s="154" t="s">
        <v>1797</v>
      </c>
      <c r="AO1210" s="95" t="s">
        <v>973</v>
      </c>
      <c r="AP1210" s="95" t="s">
        <v>973</v>
      </c>
      <c r="AQ1210" s="95" t="s">
        <v>212</v>
      </c>
      <c r="AR1210" s="95" t="s">
        <v>192</v>
      </c>
      <c r="AS1210" s="95">
        <v>4</v>
      </c>
      <c r="AT1210" s="95">
        <v>4</v>
      </c>
      <c r="AU1210" s="95" t="s">
        <v>169</v>
      </c>
      <c r="AZ1210" s="95" t="s">
        <v>965</v>
      </c>
      <c r="BD1210" s="95">
        <v>1944</v>
      </c>
      <c r="BE1210" s="95">
        <v>2947</v>
      </c>
      <c r="BG1210" s="95">
        <v>1.39</v>
      </c>
      <c r="BH1210" s="95">
        <v>1.34</v>
      </c>
      <c r="BJ1210" s="95">
        <v>1.1000000000000001</v>
      </c>
      <c r="BK1210" s="95">
        <v>0.9</v>
      </c>
      <c r="BL1210" s="95" t="s">
        <v>1856</v>
      </c>
      <c r="CT1210" s="95">
        <v>1.43</v>
      </c>
      <c r="CU1210" s="95">
        <v>5.13</v>
      </c>
      <c r="DL1210" s="95">
        <f>0.299-0.087</f>
        <v>0.21199999999999999</v>
      </c>
      <c r="DM1210" s="95">
        <f>0.308-0.087</f>
        <v>0.221</v>
      </c>
      <c r="DN1210" s="95" t="s">
        <v>979</v>
      </c>
      <c r="FR1210" s="95" t="s">
        <v>977</v>
      </c>
      <c r="FT1210" s="95">
        <v>57</v>
      </c>
    </row>
    <row r="1211" spans="1:176" s="47" customFormat="1" x14ac:dyDescent="0.25">
      <c r="A1211" s="47">
        <v>57</v>
      </c>
      <c r="B1211" s="47" t="s">
        <v>962</v>
      </c>
      <c r="C1211" s="47" t="s">
        <v>963</v>
      </c>
      <c r="D1211" s="47">
        <v>1990</v>
      </c>
      <c r="E1211" s="47">
        <v>1981</v>
      </c>
      <c r="F1211" s="47" t="s">
        <v>967</v>
      </c>
      <c r="G1211" s="47" t="s">
        <v>964</v>
      </c>
      <c r="H1211" s="47">
        <v>34.200000000000003</v>
      </c>
      <c r="I1211" s="47">
        <v>-90.58</v>
      </c>
      <c r="J1211" s="47">
        <v>55.3</v>
      </c>
      <c r="P1211" s="82">
        <v>9</v>
      </c>
      <c r="Q1211" s="82" t="s">
        <v>1007</v>
      </c>
      <c r="R1211" s="82"/>
      <c r="S1211" s="82" t="s">
        <v>1558</v>
      </c>
      <c r="T1211" s="82" t="s">
        <v>1558</v>
      </c>
      <c r="U1211" s="82" t="s">
        <v>1558</v>
      </c>
      <c r="V1211" s="82" t="s">
        <v>1905</v>
      </c>
      <c r="W1211" s="47">
        <v>1.325</v>
      </c>
      <c r="Z1211" s="47" t="s">
        <v>531</v>
      </c>
      <c r="AD1211" s="47" t="s">
        <v>1509</v>
      </c>
      <c r="AE1211" s="47" t="s">
        <v>1699</v>
      </c>
      <c r="AF1211" s="152" t="s">
        <v>1762</v>
      </c>
      <c r="AG1211" s="47" t="s">
        <v>673</v>
      </c>
      <c r="AH1211" s="154" t="s">
        <v>1797</v>
      </c>
      <c r="AO1211" s="47" t="s">
        <v>973</v>
      </c>
      <c r="AP1211" s="47" t="s">
        <v>973</v>
      </c>
      <c r="AQ1211" s="47" t="s">
        <v>212</v>
      </c>
      <c r="AR1211" s="47" t="s">
        <v>192</v>
      </c>
      <c r="AS1211" s="47">
        <v>4</v>
      </c>
      <c r="AT1211" s="47">
        <v>4</v>
      </c>
      <c r="AU1211" s="47" t="s">
        <v>169</v>
      </c>
      <c r="AZ1211" s="47" t="s">
        <v>965</v>
      </c>
      <c r="BD1211" s="47">
        <v>1944</v>
      </c>
      <c r="BE1211" s="47">
        <v>2395</v>
      </c>
      <c r="FR1211" s="47" t="s">
        <v>977</v>
      </c>
      <c r="FT1211" s="47">
        <v>57</v>
      </c>
    </row>
    <row r="1212" spans="1:176" s="91" customFormat="1" x14ac:dyDescent="0.25">
      <c r="A1212" s="91">
        <v>57</v>
      </c>
      <c r="B1212" s="91" t="s">
        <v>962</v>
      </c>
      <c r="C1212" s="91" t="s">
        <v>963</v>
      </c>
      <c r="D1212" s="91">
        <v>1990</v>
      </c>
      <c r="E1212" s="91">
        <v>1983</v>
      </c>
      <c r="F1212" s="91" t="s">
        <v>967</v>
      </c>
      <c r="G1212" s="91" t="s">
        <v>964</v>
      </c>
      <c r="H1212" s="91">
        <v>34.200000000000003</v>
      </c>
      <c r="I1212" s="91">
        <v>-90.58</v>
      </c>
      <c r="J1212" s="91">
        <v>55.3</v>
      </c>
      <c r="P1212" s="92">
        <v>11</v>
      </c>
      <c r="Q1212" s="92" t="s">
        <v>1008</v>
      </c>
      <c r="R1212" s="92"/>
      <c r="S1212" s="82" t="s">
        <v>1558</v>
      </c>
      <c r="T1212" s="82" t="s">
        <v>1558</v>
      </c>
      <c r="U1212" s="82" t="s">
        <v>1558</v>
      </c>
      <c r="V1212" s="82" t="s">
        <v>1905</v>
      </c>
      <c r="W1212" s="91">
        <v>1.325</v>
      </c>
      <c r="Z1212" s="91" t="s">
        <v>531</v>
      </c>
      <c r="AD1212" s="91" t="s">
        <v>1509</v>
      </c>
      <c r="AE1212" s="91" t="s">
        <v>281</v>
      </c>
      <c r="AF1212" s="152" t="s">
        <v>666</v>
      </c>
      <c r="AG1212" s="91" t="s">
        <v>673</v>
      </c>
      <c r="AH1212" s="154" t="s">
        <v>1797</v>
      </c>
      <c r="AO1212" s="91" t="s">
        <v>974</v>
      </c>
      <c r="AP1212" s="91" t="s">
        <v>974</v>
      </c>
      <c r="AQ1212" s="91" t="s">
        <v>212</v>
      </c>
      <c r="AR1212" s="91" t="s">
        <v>192</v>
      </c>
      <c r="AS1212" s="91">
        <v>4</v>
      </c>
      <c r="AT1212" s="91">
        <v>4</v>
      </c>
      <c r="AU1212" s="91" t="s">
        <v>169</v>
      </c>
      <c r="AW1212" s="91">
        <v>3117</v>
      </c>
      <c r="AZ1212" s="91" t="s">
        <v>965</v>
      </c>
      <c r="BD1212" s="91">
        <v>2930</v>
      </c>
      <c r="BE1212" s="91">
        <v>3145</v>
      </c>
      <c r="FR1212" s="91" t="s">
        <v>977</v>
      </c>
      <c r="FT1212" s="91">
        <v>57</v>
      </c>
    </row>
    <row r="1213" spans="1:176" s="91" customFormat="1" x14ac:dyDescent="0.25">
      <c r="A1213" s="91">
        <v>57</v>
      </c>
      <c r="B1213" s="91" t="s">
        <v>962</v>
      </c>
      <c r="C1213" s="91" t="s">
        <v>963</v>
      </c>
      <c r="D1213" s="91">
        <v>1990</v>
      </c>
      <c r="E1213" s="91">
        <v>1983</v>
      </c>
      <c r="F1213" s="91" t="s">
        <v>967</v>
      </c>
      <c r="G1213" s="91" t="s">
        <v>964</v>
      </c>
      <c r="H1213" s="91">
        <v>34.200000000000003</v>
      </c>
      <c r="I1213" s="91">
        <v>-90.58</v>
      </c>
      <c r="J1213" s="91">
        <v>55.3</v>
      </c>
      <c r="P1213" s="92">
        <v>11</v>
      </c>
      <c r="Q1213" s="92" t="s">
        <v>1008</v>
      </c>
      <c r="R1213" s="92"/>
      <c r="S1213" s="82" t="s">
        <v>1558</v>
      </c>
      <c r="T1213" s="82" t="s">
        <v>1558</v>
      </c>
      <c r="U1213" s="82" t="s">
        <v>1558</v>
      </c>
      <c r="V1213" s="82" t="s">
        <v>1905</v>
      </c>
      <c r="W1213" s="91">
        <v>1.325</v>
      </c>
      <c r="Z1213" s="91" t="s">
        <v>531</v>
      </c>
      <c r="AD1213" s="91" t="s">
        <v>1509</v>
      </c>
      <c r="AE1213" s="91" t="s">
        <v>1698</v>
      </c>
      <c r="AF1213" s="152" t="s">
        <v>1762</v>
      </c>
      <c r="AG1213" s="91" t="s">
        <v>673</v>
      </c>
      <c r="AH1213" s="154" t="s">
        <v>1797</v>
      </c>
      <c r="AO1213" s="91" t="s">
        <v>974</v>
      </c>
      <c r="AP1213" s="91" t="s">
        <v>974</v>
      </c>
      <c r="AQ1213" s="91" t="s">
        <v>212</v>
      </c>
      <c r="AR1213" s="91" t="s">
        <v>192</v>
      </c>
      <c r="AS1213" s="91">
        <v>4</v>
      </c>
      <c r="AT1213" s="91">
        <v>4</v>
      </c>
      <c r="AU1213" s="91" t="s">
        <v>169</v>
      </c>
      <c r="AW1213" s="91">
        <v>2615</v>
      </c>
      <c r="AZ1213" s="91" t="s">
        <v>965</v>
      </c>
      <c r="BD1213" s="91">
        <v>2930</v>
      </c>
      <c r="BE1213" s="91">
        <v>3156</v>
      </c>
      <c r="FR1213" s="91" t="s">
        <v>977</v>
      </c>
      <c r="FT1213" s="91">
        <v>57</v>
      </c>
    </row>
    <row r="1214" spans="1:176" s="91" customFormat="1" x14ac:dyDescent="0.25">
      <c r="A1214" s="91">
        <v>57</v>
      </c>
      <c r="B1214" s="91" t="s">
        <v>962</v>
      </c>
      <c r="C1214" s="91" t="s">
        <v>963</v>
      </c>
      <c r="D1214" s="91">
        <v>1990</v>
      </c>
      <c r="E1214" s="91">
        <v>1983</v>
      </c>
      <c r="F1214" s="91" t="s">
        <v>967</v>
      </c>
      <c r="G1214" s="91" t="s">
        <v>964</v>
      </c>
      <c r="H1214" s="91">
        <v>34.200000000000003</v>
      </c>
      <c r="I1214" s="91">
        <v>-90.58</v>
      </c>
      <c r="J1214" s="91">
        <v>55.3</v>
      </c>
      <c r="P1214" s="92">
        <v>11</v>
      </c>
      <c r="Q1214" s="92" t="s">
        <v>1008</v>
      </c>
      <c r="R1214" s="92"/>
      <c r="S1214" s="92" t="s">
        <v>1558</v>
      </c>
      <c r="T1214" s="92" t="s">
        <v>1558</v>
      </c>
      <c r="U1214" s="92" t="s">
        <v>1558</v>
      </c>
      <c r="V1214" s="82" t="s">
        <v>1905</v>
      </c>
      <c r="W1214" s="91">
        <v>1.325</v>
      </c>
      <c r="Z1214" s="91" t="s">
        <v>531</v>
      </c>
      <c r="AD1214" s="91" t="s">
        <v>1509</v>
      </c>
      <c r="AE1214" s="91" t="s">
        <v>1699</v>
      </c>
      <c r="AF1214" s="152" t="s">
        <v>1762</v>
      </c>
      <c r="AG1214" s="91" t="s">
        <v>673</v>
      </c>
      <c r="AH1214" s="154" t="s">
        <v>1797</v>
      </c>
      <c r="AO1214" s="91" t="s">
        <v>974</v>
      </c>
      <c r="AP1214" s="91" t="s">
        <v>974</v>
      </c>
      <c r="AQ1214" s="91" t="s">
        <v>212</v>
      </c>
      <c r="AR1214" s="91" t="s">
        <v>192</v>
      </c>
      <c r="AS1214" s="91">
        <v>4</v>
      </c>
      <c r="AT1214" s="91">
        <v>4</v>
      </c>
      <c r="AU1214" s="91" t="s">
        <v>169</v>
      </c>
      <c r="AW1214" s="91">
        <v>4054</v>
      </c>
      <c r="AZ1214" s="91" t="s">
        <v>965</v>
      </c>
      <c r="BD1214" s="91">
        <v>2930</v>
      </c>
      <c r="BE1214" s="91">
        <v>3053</v>
      </c>
      <c r="FR1214" s="91" t="s">
        <v>977</v>
      </c>
      <c r="FT1214" s="91">
        <v>57</v>
      </c>
    </row>
    <row r="1215" spans="1:176" s="35" customFormat="1" x14ac:dyDescent="0.25">
      <c r="A1215" s="35">
        <v>57</v>
      </c>
      <c r="B1215" s="35" t="s">
        <v>962</v>
      </c>
      <c r="C1215" s="35" t="s">
        <v>963</v>
      </c>
      <c r="D1215" s="35">
        <v>1990</v>
      </c>
      <c r="E1215" s="35">
        <v>1984</v>
      </c>
      <c r="F1215" s="35" t="s">
        <v>967</v>
      </c>
      <c r="G1215" s="35" t="s">
        <v>964</v>
      </c>
      <c r="H1215" s="35">
        <v>34.200000000000003</v>
      </c>
      <c r="I1215" s="35">
        <v>-90.58</v>
      </c>
      <c r="J1215" s="35">
        <v>55.3</v>
      </c>
      <c r="P1215" s="54">
        <v>12</v>
      </c>
      <c r="Q1215" s="54" t="s">
        <v>1009</v>
      </c>
      <c r="R1215" s="54"/>
      <c r="S1215" s="54" t="s">
        <v>1558</v>
      </c>
      <c r="T1215" s="54" t="s">
        <v>1558</v>
      </c>
      <c r="U1215" s="54" t="s">
        <v>1558</v>
      </c>
      <c r="V1215" s="54" t="s">
        <v>1905</v>
      </c>
      <c r="W1215" s="35">
        <v>1.325</v>
      </c>
      <c r="Z1215" s="35" t="s">
        <v>531</v>
      </c>
      <c r="AD1215" s="35" t="s">
        <v>1509</v>
      </c>
      <c r="AE1215" s="35" t="s">
        <v>281</v>
      </c>
      <c r="AF1215" s="152" t="s">
        <v>666</v>
      </c>
      <c r="AG1215" s="35" t="s">
        <v>673</v>
      </c>
      <c r="AH1215" s="154" t="s">
        <v>1797</v>
      </c>
      <c r="AO1215" s="35" t="s">
        <v>975</v>
      </c>
      <c r="AP1215" s="35" t="s">
        <v>975</v>
      </c>
      <c r="AQ1215" s="35" t="s">
        <v>212</v>
      </c>
      <c r="AR1215" s="35" t="s">
        <v>192</v>
      </c>
      <c r="AS1215" s="35">
        <v>4</v>
      </c>
      <c r="AT1215" s="35">
        <v>4</v>
      </c>
      <c r="AU1215" s="35" t="s">
        <v>169</v>
      </c>
      <c r="AZ1215" s="35" t="s">
        <v>965</v>
      </c>
      <c r="BD1215" s="35">
        <v>2012</v>
      </c>
      <c r="BE1215" s="35">
        <v>2461</v>
      </c>
      <c r="FR1215" s="35" t="s">
        <v>977</v>
      </c>
      <c r="FT1215" s="35">
        <v>57</v>
      </c>
    </row>
    <row r="1216" spans="1:176" s="35" customFormat="1" x14ac:dyDescent="0.25">
      <c r="A1216" s="35">
        <v>57</v>
      </c>
      <c r="B1216" s="35" t="s">
        <v>962</v>
      </c>
      <c r="C1216" s="35" t="s">
        <v>963</v>
      </c>
      <c r="D1216" s="35">
        <v>1990</v>
      </c>
      <c r="E1216" s="35">
        <v>1984</v>
      </c>
      <c r="F1216" s="35" t="s">
        <v>967</v>
      </c>
      <c r="G1216" s="35" t="s">
        <v>964</v>
      </c>
      <c r="H1216" s="35">
        <v>34.200000000000003</v>
      </c>
      <c r="I1216" s="35">
        <v>-90.58</v>
      </c>
      <c r="J1216" s="35">
        <v>55.3</v>
      </c>
      <c r="P1216" s="54">
        <v>12</v>
      </c>
      <c r="Q1216" s="54" t="s">
        <v>1009</v>
      </c>
      <c r="R1216" s="54"/>
      <c r="S1216" s="54" t="s">
        <v>1558</v>
      </c>
      <c r="T1216" s="54" t="s">
        <v>1558</v>
      </c>
      <c r="U1216" s="54" t="s">
        <v>1558</v>
      </c>
      <c r="V1216" s="54" t="s">
        <v>1905</v>
      </c>
      <c r="W1216" s="35">
        <v>1.325</v>
      </c>
      <c r="Z1216" s="35" t="s">
        <v>531</v>
      </c>
      <c r="AD1216" s="35" t="s">
        <v>1509</v>
      </c>
      <c r="AE1216" s="35" t="s">
        <v>1698</v>
      </c>
      <c r="AF1216" s="152" t="s">
        <v>1762</v>
      </c>
      <c r="AG1216" s="35" t="s">
        <v>673</v>
      </c>
      <c r="AH1216" s="154" t="s">
        <v>1797</v>
      </c>
      <c r="AO1216" s="35" t="s">
        <v>975</v>
      </c>
      <c r="AP1216" s="35" t="s">
        <v>975</v>
      </c>
      <c r="AQ1216" s="35" t="s">
        <v>212</v>
      </c>
      <c r="AR1216" s="35" t="s">
        <v>192</v>
      </c>
      <c r="AS1216" s="35">
        <v>4</v>
      </c>
      <c r="AT1216" s="35">
        <v>4</v>
      </c>
      <c r="AU1216" s="35" t="s">
        <v>169</v>
      </c>
      <c r="AZ1216" s="35" t="s">
        <v>965</v>
      </c>
      <c r="BD1216" s="35">
        <v>2012</v>
      </c>
      <c r="BE1216" s="35">
        <v>2581</v>
      </c>
      <c r="FR1216" s="35" t="s">
        <v>977</v>
      </c>
      <c r="FT1216" s="35">
        <v>57</v>
      </c>
    </row>
    <row r="1217" spans="1:176" s="35" customFormat="1" x14ac:dyDescent="0.25">
      <c r="A1217" s="35">
        <v>57</v>
      </c>
      <c r="B1217" s="35" t="s">
        <v>962</v>
      </c>
      <c r="C1217" s="35" t="s">
        <v>963</v>
      </c>
      <c r="D1217" s="35">
        <v>1990</v>
      </c>
      <c r="E1217" s="35">
        <v>1984</v>
      </c>
      <c r="F1217" s="35" t="s">
        <v>967</v>
      </c>
      <c r="G1217" s="35" t="s">
        <v>964</v>
      </c>
      <c r="H1217" s="35">
        <v>34.200000000000003</v>
      </c>
      <c r="I1217" s="35">
        <v>-90.58</v>
      </c>
      <c r="J1217" s="35">
        <v>55.3</v>
      </c>
      <c r="P1217" s="54">
        <v>12</v>
      </c>
      <c r="Q1217" s="54" t="s">
        <v>1009</v>
      </c>
      <c r="R1217" s="54"/>
      <c r="S1217" s="54" t="s">
        <v>1558</v>
      </c>
      <c r="T1217" s="54" t="s">
        <v>1558</v>
      </c>
      <c r="U1217" s="54" t="s">
        <v>1558</v>
      </c>
      <c r="V1217" s="54" t="s">
        <v>1905</v>
      </c>
      <c r="W1217" s="35">
        <v>1.325</v>
      </c>
      <c r="Z1217" s="35" t="s">
        <v>531</v>
      </c>
      <c r="AD1217" s="35" t="s">
        <v>1509</v>
      </c>
      <c r="AE1217" s="35" t="s">
        <v>1699</v>
      </c>
      <c r="AF1217" s="152" t="s">
        <v>1762</v>
      </c>
      <c r="AG1217" s="35" t="s">
        <v>673</v>
      </c>
      <c r="AH1217" s="154" t="s">
        <v>1797</v>
      </c>
      <c r="AO1217" s="35" t="s">
        <v>975</v>
      </c>
      <c r="AP1217" s="35" t="s">
        <v>975</v>
      </c>
      <c r="AQ1217" s="35" t="s">
        <v>212</v>
      </c>
      <c r="AR1217" s="35" t="s">
        <v>192</v>
      </c>
      <c r="AS1217" s="35">
        <v>4</v>
      </c>
      <c r="AT1217" s="35">
        <v>4</v>
      </c>
      <c r="AU1217" s="35" t="s">
        <v>169</v>
      </c>
      <c r="AZ1217" s="35" t="s">
        <v>965</v>
      </c>
      <c r="BD1217" s="35">
        <v>2012</v>
      </c>
      <c r="BE1217" s="35">
        <v>2389</v>
      </c>
      <c r="FR1217" s="35" t="s">
        <v>977</v>
      </c>
      <c r="FT1217" s="35">
        <v>57</v>
      </c>
    </row>
    <row r="1218" spans="1:176" s="91" customFormat="1" x14ac:dyDescent="0.25">
      <c r="A1218" s="91">
        <v>57</v>
      </c>
      <c r="B1218" s="91" t="s">
        <v>962</v>
      </c>
      <c r="C1218" s="91" t="s">
        <v>963</v>
      </c>
      <c r="D1218" s="91">
        <v>1990</v>
      </c>
      <c r="E1218" s="91">
        <v>1985</v>
      </c>
      <c r="F1218" s="91" t="s">
        <v>967</v>
      </c>
      <c r="G1218" s="91" t="s">
        <v>964</v>
      </c>
      <c r="H1218" s="91">
        <v>34.200000000000003</v>
      </c>
      <c r="I1218" s="91">
        <v>-90.58</v>
      </c>
      <c r="J1218" s="91">
        <v>55.3</v>
      </c>
      <c r="P1218" s="92">
        <v>13</v>
      </c>
      <c r="Q1218" s="92" t="s">
        <v>1010</v>
      </c>
      <c r="R1218" s="92"/>
      <c r="S1218" s="92" t="s">
        <v>1558</v>
      </c>
      <c r="T1218" s="92" t="s">
        <v>1558</v>
      </c>
      <c r="U1218" s="92" t="s">
        <v>1558</v>
      </c>
      <c r="V1218" s="92" t="s">
        <v>1905</v>
      </c>
      <c r="W1218" s="91">
        <v>1.325</v>
      </c>
      <c r="Z1218" s="91" t="s">
        <v>531</v>
      </c>
      <c r="AD1218" s="91" t="s">
        <v>1509</v>
      </c>
      <c r="AE1218" s="91" t="s">
        <v>281</v>
      </c>
      <c r="AF1218" s="152" t="s">
        <v>666</v>
      </c>
      <c r="AG1218" s="91" t="s">
        <v>673</v>
      </c>
      <c r="AH1218" s="154" t="s">
        <v>1797</v>
      </c>
      <c r="AO1218" s="91" t="s">
        <v>975</v>
      </c>
      <c r="AP1218" s="91" t="s">
        <v>975</v>
      </c>
      <c r="AQ1218" s="91" t="s">
        <v>212</v>
      </c>
      <c r="AR1218" s="91" t="s">
        <v>192</v>
      </c>
      <c r="AS1218" s="91">
        <v>4</v>
      </c>
      <c r="AT1218" s="91">
        <v>4</v>
      </c>
      <c r="AU1218" s="91" t="s">
        <v>169</v>
      </c>
      <c r="AW1218" s="91">
        <v>2100</v>
      </c>
      <c r="AZ1218" s="91" t="s">
        <v>965</v>
      </c>
      <c r="BD1218" s="91">
        <v>3471</v>
      </c>
      <c r="BE1218" s="91">
        <v>3693</v>
      </c>
      <c r="FR1218" s="91" t="s">
        <v>977</v>
      </c>
      <c r="FT1218" s="91">
        <v>57</v>
      </c>
    </row>
    <row r="1219" spans="1:176" s="91" customFormat="1" x14ac:dyDescent="0.25">
      <c r="A1219" s="91">
        <v>57</v>
      </c>
      <c r="B1219" s="91" t="s">
        <v>962</v>
      </c>
      <c r="C1219" s="91" t="s">
        <v>963</v>
      </c>
      <c r="D1219" s="91">
        <v>1990</v>
      </c>
      <c r="E1219" s="91">
        <v>1985</v>
      </c>
      <c r="F1219" s="91" t="s">
        <v>967</v>
      </c>
      <c r="G1219" s="91" t="s">
        <v>964</v>
      </c>
      <c r="H1219" s="91">
        <v>34.200000000000003</v>
      </c>
      <c r="I1219" s="91">
        <v>-90.58</v>
      </c>
      <c r="J1219" s="91">
        <v>55.3</v>
      </c>
      <c r="P1219" s="92">
        <v>13</v>
      </c>
      <c r="Q1219" s="92" t="s">
        <v>1010</v>
      </c>
      <c r="R1219" s="92"/>
      <c r="S1219" s="92" t="s">
        <v>1558</v>
      </c>
      <c r="T1219" s="92" t="s">
        <v>1558</v>
      </c>
      <c r="U1219" s="92" t="s">
        <v>1558</v>
      </c>
      <c r="V1219" s="92" t="s">
        <v>1905</v>
      </c>
      <c r="W1219" s="91">
        <v>1.325</v>
      </c>
      <c r="Z1219" s="91" t="s">
        <v>531</v>
      </c>
      <c r="AD1219" s="91" t="s">
        <v>1509</v>
      </c>
      <c r="AE1219" s="91" t="s">
        <v>1698</v>
      </c>
      <c r="AF1219" s="152" t="s">
        <v>1762</v>
      </c>
      <c r="AG1219" s="91" t="s">
        <v>673</v>
      </c>
      <c r="AH1219" s="154" t="s">
        <v>1797</v>
      </c>
      <c r="AO1219" s="91" t="s">
        <v>975</v>
      </c>
      <c r="AP1219" s="91" t="s">
        <v>975</v>
      </c>
      <c r="AQ1219" s="91" t="s">
        <v>212</v>
      </c>
      <c r="AR1219" s="91" t="s">
        <v>192</v>
      </c>
      <c r="AS1219" s="91">
        <v>4</v>
      </c>
      <c r="AT1219" s="91">
        <v>4</v>
      </c>
      <c r="AU1219" s="91" t="s">
        <v>169</v>
      </c>
      <c r="AW1219" s="91">
        <v>1999</v>
      </c>
      <c r="AZ1219" s="91" t="s">
        <v>965</v>
      </c>
      <c r="BD1219" s="91">
        <v>3471</v>
      </c>
      <c r="BE1219" s="91">
        <v>3845</v>
      </c>
      <c r="FR1219" s="91" t="s">
        <v>977</v>
      </c>
      <c r="FT1219" s="91">
        <v>57</v>
      </c>
    </row>
    <row r="1220" spans="1:176" s="91" customFormat="1" x14ac:dyDescent="0.25">
      <c r="A1220" s="91">
        <v>57</v>
      </c>
      <c r="B1220" s="91" t="s">
        <v>962</v>
      </c>
      <c r="C1220" s="91" t="s">
        <v>963</v>
      </c>
      <c r="D1220" s="91">
        <v>1990</v>
      </c>
      <c r="E1220" s="91">
        <v>1985</v>
      </c>
      <c r="F1220" s="91" t="s">
        <v>967</v>
      </c>
      <c r="G1220" s="91" t="s">
        <v>964</v>
      </c>
      <c r="H1220" s="91">
        <v>34.200000000000003</v>
      </c>
      <c r="I1220" s="91">
        <v>-90.58</v>
      </c>
      <c r="J1220" s="91">
        <v>55.3</v>
      </c>
      <c r="P1220" s="92">
        <v>13</v>
      </c>
      <c r="Q1220" s="92" t="s">
        <v>1010</v>
      </c>
      <c r="R1220" s="92"/>
      <c r="S1220" s="92" t="s">
        <v>1558</v>
      </c>
      <c r="T1220" s="92" t="s">
        <v>1558</v>
      </c>
      <c r="U1220" s="92" t="s">
        <v>1558</v>
      </c>
      <c r="V1220" s="92" t="s">
        <v>1905</v>
      </c>
      <c r="W1220" s="91">
        <v>1.325</v>
      </c>
      <c r="Z1220" s="91" t="s">
        <v>531</v>
      </c>
      <c r="AD1220" s="91" t="s">
        <v>1509</v>
      </c>
      <c r="AE1220" s="91" t="s">
        <v>1699</v>
      </c>
      <c r="AF1220" s="152" t="s">
        <v>1762</v>
      </c>
      <c r="AG1220" s="91" t="s">
        <v>673</v>
      </c>
      <c r="AH1220" s="154" t="s">
        <v>1797</v>
      </c>
      <c r="AO1220" s="91" t="s">
        <v>975</v>
      </c>
      <c r="AP1220" s="91" t="s">
        <v>975</v>
      </c>
      <c r="AQ1220" s="91" t="s">
        <v>212</v>
      </c>
      <c r="AR1220" s="91" t="s">
        <v>192</v>
      </c>
      <c r="AS1220" s="91">
        <v>4</v>
      </c>
      <c r="AT1220" s="91">
        <v>4</v>
      </c>
      <c r="AU1220" s="91" t="s">
        <v>169</v>
      </c>
      <c r="AW1220" s="91">
        <v>3151</v>
      </c>
      <c r="AZ1220" s="91" t="s">
        <v>965</v>
      </c>
      <c r="BD1220" s="91">
        <v>3471</v>
      </c>
      <c r="BE1220" s="91">
        <v>3666</v>
      </c>
      <c r="FR1220" s="91" t="s">
        <v>977</v>
      </c>
      <c r="FT1220" s="91">
        <v>57</v>
      </c>
    </row>
    <row r="1221" spans="1:176" s="35" customFormat="1" x14ac:dyDescent="0.25">
      <c r="A1221" s="35">
        <v>57</v>
      </c>
      <c r="B1221" s="35" t="s">
        <v>962</v>
      </c>
      <c r="C1221" s="35" t="s">
        <v>963</v>
      </c>
      <c r="D1221" s="35">
        <v>1990</v>
      </c>
      <c r="E1221" s="35">
        <v>1986</v>
      </c>
      <c r="F1221" s="35" t="s">
        <v>967</v>
      </c>
      <c r="G1221" s="35" t="s">
        <v>964</v>
      </c>
      <c r="H1221" s="35">
        <v>34.200000000000003</v>
      </c>
      <c r="I1221" s="35">
        <v>-90.58</v>
      </c>
      <c r="J1221" s="35">
        <v>55.3</v>
      </c>
      <c r="P1221" s="54">
        <v>14</v>
      </c>
      <c r="Q1221" s="54" t="s">
        <v>997</v>
      </c>
      <c r="R1221" s="54"/>
      <c r="S1221" s="54" t="s">
        <v>1558</v>
      </c>
      <c r="T1221" s="54" t="s">
        <v>1558</v>
      </c>
      <c r="U1221" s="54" t="s">
        <v>1558</v>
      </c>
      <c r="V1221" s="54" t="s">
        <v>1905</v>
      </c>
      <c r="W1221" s="35">
        <v>1.325</v>
      </c>
      <c r="Z1221" s="35" t="s">
        <v>531</v>
      </c>
      <c r="AD1221" s="35" t="s">
        <v>1509</v>
      </c>
      <c r="AE1221" s="35" t="s">
        <v>281</v>
      </c>
      <c r="AF1221" s="152" t="s">
        <v>666</v>
      </c>
      <c r="AG1221" s="35" t="s">
        <v>673</v>
      </c>
      <c r="AH1221" s="154" t="s">
        <v>1797</v>
      </c>
      <c r="AO1221" s="35" t="s">
        <v>970</v>
      </c>
      <c r="AP1221" s="35" t="s">
        <v>970</v>
      </c>
      <c r="AQ1221" s="35" t="s">
        <v>212</v>
      </c>
      <c r="AR1221" s="35" t="s">
        <v>192</v>
      </c>
      <c r="AS1221" s="35">
        <v>4</v>
      </c>
      <c r="AT1221" s="35">
        <v>4</v>
      </c>
      <c r="AU1221" s="35" t="s">
        <v>169</v>
      </c>
      <c r="AZ1221" s="35" t="s">
        <v>965</v>
      </c>
      <c r="BD1221" s="35">
        <v>2664</v>
      </c>
      <c r="BE1221" s="35">
        <v>2351</v>
      </c>
      <c r="FR1221" s="35" t="s">
        <v>977</v>
      </c>
      <c r="FT1221" s="35">
        <v>57</v>
      </c>
    </row>
    <row r="1222" spans="1:176" s="35" customFormat="1" x14ac:dyDescent="0.25">
      <c r="A1222" s="35">
        <v>57</v>
      </c>
      <c r="B1222" s="35" t="s">
        <v>962</v>
      </c>
      <c r="C1222" s="35" t="s">
        <v>963</v>
      </c>
      <c r="D1222" s="35">
        <v>1990</v>
      </c>
      <c r="E1222" s="35">
        <v>1986</v>
      </c>
      <c r="F1222" s="35" t="s">
        <v>967</v>
      </c>
      <c r="G1222" s="35" t="s">
        <v>964</v>
      </c>
      <c r="H1222" s="35">
        <v>34.200000000000003</v>
      </c>
      <c r="I1222" s="35">
        <v>-90.58</v>
      </c>
      <c r="J1222" s="35">
        <v>55.3</v>
      </c>
      <c r="P1222" s="54">
        <v>14</v>
      </c>
      <c r="Q1222" s="54" t="s">
        <v>997</v>
      </c>
      <c r="R1222" s="54"/>
      <c r="S1222" s="54" t="s">
        <v>1558</v>
      </c>
      <c r="T1222" s="54" t="s">
        <v>1558</v>
      </c>
      <c r="U1222" s="54" t="s">
        <v>1558</v>
      </c>
      <c r="V1222" s="54" t="s">
        <v>1905</v>
      </c>
      <c r="W1222" s="35">
        <v>1.325</v>
      </c>
      <c r="Z1222" s="35" t="s">
        <v>531</v>
      </c>
      <c r="AD1222" s="35" t="s">
        <v>1509</v>
      </c>
      <c r="AE1222" s="35" t="s">
        <v>1698</v>
      </c>
      <c r="AF1222" s="152" t="s">
        <v>1762</v>
      </c>
      <c r="AG1222" s="35" t="s">
        <v>673</v>
      </c>
      <c r="AH1222" s="154" t="s">
        <v>1797</v>
      </c>
      <c r="AO1222" s="35" t="s">
        <v>970</v>
      </c>
      <c r="AP1222" s="35" t="s">
        <v>970</v>
      </c>
      <c r="AQ1222" s="35" t="s">
        <v>212</v>
      </c>
      <c r="AR1222" s="35" t="s">
        <v>192</v>
      </c>
      <c r="AS1222" s="35">
        <v>4</v>
      </c>
      <c r="AT1222" s="35">
        <v>4</v>
      </c>
      <c r="AU1222" s="35" t="s">
        <v>169</v>
      </c>
      <c r="AZ1222" s="35" t="s">
        <v>965</v>
      </c>
      <c r="BD1222" s="35">
        <v>2664</v>
      </c>
      <c r="BE1222" s="35">
        <v>2610</v>
      </c>
      <c r="FR1222" s="35" t="s">
        <v>977</v>
      </c>
      <c r="FT1222" s="35">
        <v>57</v>
      </c>
    </row>
    <row r="1223" spans="1:176" s="35" customFormat="1" x14ac:dyDescent="0.25">
      <c r="A1223" s="35">
        <v>57</v>
      </c>
      <c r="B1223" s="35" t="s">
        <v>962</v>
      </c>
      <c r="C1223" s="35" t="s">
        <v>963</v>
      </c>
      <c r="D1223" s="35">
        <v>1990</v>
      </c>
      <c r="E1223" s="35">
        <v>1986</v>
      </c>
      <c r="F1223" s="35" t="s">
        <v>967</v>
      </c>
      <c r="G1223" s="35" t="s">
        <v>964</v>
      </c>
      <c r="H1223" s="35">
        <v>34.200000000000003</v>
      </c>
      <c r="I1223" s="35">
        <v>-90.58</v>
      </c>
      <c r="J1223" s="35">
        <v>55.3</v>
      </c>
      <c r="P1223" s="54">
        <v>14</v>
      </c>
      <c r="Q1223" s="54" t="s">
        <v>997</v>
      </c>
      <c r="R1223" s="54"/>
      <c r="S1223" s="54" t="s">
        <v>1558</v>
      </c>
      <c r="T1223" s="54" t="s">
        <v>1558</v>
      </c>
      <c r="U1223" s="54" t="s">
        <v>1558</v>
      </c>
      <c r="V1223" s="54" t="s">
        <v>1905</v>
      </c>
      <c r="W1223" s="35">
        <v>1.325</v>
      </c>
      <c r="Z1223" s="35" t="s">
        <v>531</v>
      </c>
      <c r="AD1223" s="35" t="s">
        <v>1509</v>
      </c>
      <c r="AE1223" s="35" t="s">
        <v>1699</v>
      </c>
      <c r="AF1223" s="152" t="s">
        <v>1762</v>
      </c>
      <c r="AG1223" s="35" t="s">
        <v>673</v>
      </c>
      <c r="AH1223" s="154" t="s">
        <v>1797</v>
      </c>
      <c r="AO1223" s="35" t="s">
        <v>970</v>
      </c>
      <c r="AP1223" s="35" t="s">
        <v>970</v>
      </c>
      <c r="AQ1223" s="35" t="s">
        <v>212</v>
      </c>
      <c r="AR1223" s="35" t="s">
        <v>192</v>
      </c>
      <c r="AS1223" s="35">
        <v>4</v>
      </c>
      <c r="AT1223" s="35">
        <v>4</v>
      </c>
      <c r="AU1223" s="35" t="s">
        <v>169</v>
      </c>
      <c r="AZ1223" s="35" t="s">
        <v>965</v>
      </c>
      <c r="BD1223" s="35">
        <v>2664</v>
      </c>
      <c r="BE1223" s="35">
        <v>2260</v>
      </c>
      <c r="FR1223" s="35" t="s">
        <v>977</v>
      </c>
      <c r="FT1223" s="35">
        <v>57</v>
      </c>
    </row>
    <row r="1224" spans="1:176" s="47" customFormat="1" x14ac:dyDescent="0.25">
      <c r="A1224" s="47">
        <v>57</v>
      </c>
      <c r="B1224" s="47" t="s">
        <v>962</v>
      </c>
      <c r="C1224" s="47" t="s">
        <v>963</v>
      </c>
      <c r="D1224" s="47">
        <v>1990</v>
      </c>
      <c r="E1224" s="47">
        <v>1987</v>
      </c>
      <c r="F1224" s="47" t="s">
        <v>967</v>
      </c>
      <c r="G1224" s="47" t="s">
        <v>964</v>
      </c>
      <c r="H1224" s="47">
        <v>34.200000000000003</v>
      </c>
      <c r="I1224" s="47">
        <v>-90.58</v>
      </c>
      <c r="J1224" s="47">
        <v>55.3</v>
      </c>
      <c r="P1224" s="82">
        <v>15</v>
      </c>
      <c r="Q1224" s="82" t="s">
        <v>1006</v>
      </c>
      <c r="R1224" s="82"/>
      <c r="S1224" s="82" t="s">
        <v>1558</v>
      </c>
      <c r="T1224" s="82" t="s">
        <v>1558</v>
      </c>
      <c r="U1224" s="82" t="s">
        <v>1558</v>
      </c>
      <c r="V1224" s="92" t="s">
        <v>1905</v>
      </c>
      <c r="W1224" s="47">
        <v>1.325</v>
      </c>
      <c r="Z1224" s="47" t="s">
        <v>531</v>
      </c>
      <c r="AD1224" s="91" t="s">
        <v>1509</v>
      </c>
      <c r="AE1224" s="47" t="s">
        <v>281</v>
      </c>
      <c r="AF1224" s="152" t="s">
        <v>666</v>
      </c>
      <c r="AG1224" s="47" t="s">
        <v>673</v>
      </c>
      <c r="AH1224" s="154" t="s">
        <v>1797</v>
      </c>
      <c r="AO1224" s="47" t="s">
        <v>970</v>
      </c>
      <c r="AP1224" s="47" t="s">
        <v>970</v>
      </c>
      <c r="AQ1224" s="47" t="s">
        <v>212</v>
      </c>
      <c r="AR1224" s="47" t="s">
        <v>192</v>
      </c>
      <c r="AS1224" s="47">
        <v>4</v>
      </c>
      <c r="AT1224" s="47">
        <v>4</v>
      </c>
      <c r="AU1224" s="47" t="s">
        <v>169</v>
      </c>
      <c r="AZ1224" s="47" t="s">
        <v>965</v>
      </c>
      <c r="BD1224" s="47">
        <v>2490</v>
      </c>
      <c r="BE1224" s="47">
        <v>2781</v>
      </c>
      <c r="FR1224" s="47" t="s">
        <v>977</v>
      </c>
      <c r="FT1224" s="47">
        <v>57</v>
      </c>
    </row>
    <row r="1225" spans="1:176" s="47" customFormat="1" x14ac:dyDescent="0.25">
      <c r="A1225" s="47">
        <v>57</v>
      </c>
      <c r="B1225" s="47" t="s">
        <v>962</v>
      </c>
      <c r="C1225" s="47" t="s">
        <v>963</v>
      </c>
      <c r="D1225" s="47">
        <v>1990</v>
      </c>
      <c r="E1225" s="47">
        <v>1987</v>
      </c>
      <c r="F1225" s="47" t="s">
        <v>967</v>
      </c>
      <c r="G1225" s="47" t="s">
        <v>964</v>
      </c>
      <c r="H1225" s="47">
        <v>34.200000000000003</v>
      </c>
      <c r="I1225" s="47">
        <v>-90.58</v>
      </c>
      <c r="J1225" s="47">
        <v>55.3</v>
      </c>
      <c r="P1225" s="82">
        <v>15</v>
      </c>
      <c r="Q1225" s="82" t="s">
        <v>1006</v>
      </c>
      <c r="R1225" s="82"/>
      <c r="S1225" s="82" t="s">
        <v>1558</v>
      </c>
      <c r="T1225" s="82" t="s">
        <v>1558</v>
      </c>
      <c r="U1225" s="82" t="s">
        <v>1558</v>
      </c>
      <c r="V1225" s="92" t="s">
        <v>1905</v>
      </c>
      <c r="W1225" s="47">
        <v>1.325</v>
      </c>
      <c r="Z1225" s="47" t="s">
        <v>531</v>
      </c>
      <c r="AD1225" s="91" t="s">
        <v>1509</v>
      </c>
      <c r="AE1225" s="47" t="s">
        <v>1698</v>
      </c>
      <c r="AF1225" s="152" t="s">
        <v>1762</v>
      </c>
      <c r="AG1225" s="47" t="s">
        <v>673</v>
      </c>
      <c r="AH1225" s="154" t="s">
        <v>1797</v>
      </c>
      <c r="AO1225" s="47" t="s">
        <v>970</v>
      </c>
      <c r="AP1225" s="47" t="s">
        <v>970</v>
      </c>
      <c r="AQ1225" s="47" t="s">
        <v>212</v>
      </c>
      <c r="AR1225" s="47" t="s">
        <v>192</v>
      </c>
      <c r="AS1225" s="47">
        <v>4</v>
      </c>
      <c r="AT1225" s="47">
        <v>4</v>
      </c>
      <c r="AU1225" s="47" t="s">
        <v>169</v>
      </c>
      <c r="AZ1225" s="47" t="s">
        <v>965</v>
      </c>
      <c r="BD1225" s="47">
        <v>2490</v>
      </c>
      <c r="BE1225" s="47">
        <v>2798</v>
      </c>
      <c r="FR1225" s="47" t="s">
        <v>977</v>
      </c>
      <c r="FT1225" s="47">
        <v>57</v>
      </c>
    </row>
    <row r="1226" spans="1:176" s="47" customFormat="1" x14ac:dyDescent="0.25">
      <c r="A1226" s="47">
        <v>57</v>
      </c>
      <c r="B1226" s="47" t="s">
        <v>962</v>
      </c>
      <c r="C1226" s="47" t="s">
        <v>963</v>
      </c>
      <c r="D1226" s="47">
        <v>1990</v>
      </c>
      <c r="E1226" s="47">
        <v>1987</v>
      </c>
      <c r="F1226" s="47" t="s">
        <v>967</v>
      </c>
      <c r="G1226" s="47" t="s">
        <v>964</v>
      </c>
      <c r="H1226" s="47">
        <v>34.200000000000003</v>
      </c>
      <c r="I1226" s="47">
        <v>-90.58</v>
      </c>
      <c r="J1226" s="47">
        <v>55.3</v>
      </c>
      <c r="P1226" s="82">
        <v>15</v>
      </c>
      <c r="Q1226" s="82" t="s">
        <v>1006</v>
      </c>
      <c r="R1226" s="82"/>
      <c r="S1226" s="82" t="s">
        <v>1558</v>
      </c>
      <c r="T1226" s="82" t="s">
        <v>1558</v>
      </c>
      <c r="U1226" s="82" t="s">
        <v>1558</v>
      </c>
      <c r="V1226" s="92" t="s">
        <v>1905</v>
      </c>
      <c r="W1226" s="47">
        <v>1.325</v>
      </c>
      <c r="Z1226" s="47" t="s">
        <v>531</v>
      </c>
      <c r="AD1226" s="91" t="s">
        <v>1509</v>
      </c>
      <c r="AE1226" s="47" t="s">
        <v>1699</v>
      </c>
      <c r="AF1226" s="152" t="s">
        <v>1762</v>
      </c>
      <c r="AG1226" s="47" t="s">
        <v>673</v>
      </c>
      <c r="AH1226" s="154" t="s">
        <v>1797</v>
      </c>
      <c r="AO1226" s="47" t="s">
        <v>970</v>
      </c>
      <c r="AP1226" s="47" t="s">
        <v>970</v>
      </c>
      <c r="AQ1226" s="47" t="s">
        <v>212</v>
      </c>
      <c r="AR1226" s="47" t="s">
        <v>192</v>
      </c>
      <c r="AS1226" s="47">
        <v>4</v>
      </c>
      <c r="AT1226" s="47">
        <v>4</v>
      </c>
      <c r="AU1226" s="47" t="s">
        <v>169</v>
      </c>
      <c r="AZ1226" s="47" t="s">
        <v>965</v>
      </c>
      <c r="BD1226" s="47">
        <v>2490</v>
      </c>
      <c r="BE1226" s="47">
        <v>2925</v>
      </c>
      <c r="FR1226" s="47" t="s">
        <v>977</v>
      </c>
      <c r="FT1226" s="47">
        <v>57</v>
      </c>
    </row>
    <row r="1227" spans="1:176" s="93" customFormat="1" x14ac:dyDescent="0.25">
      <c r="A1227" s="93">
        <v>57</v>
      </c>
      <c r="B1227" s="93" t="s">
        <v>962</v>
      </c>
      <c r="C1227" s="93" t="s">
        <v>963</v>
      </c>
      <c r="D1227" s="93">
        <v>1990</v>
      </c>
      <c r="E1227" s="93">
        <v>1988</v>
      </c>
      <c r="F1227" s="93" t="s">
        <v>967</v>
      </c>
      <c r="G1227" s="93" t="s">
        <v>964</v>
      </c>
      <c r="H1227" s="93">
        <v>34.200000000000003</v>
      </c>
      <c r="I1227" s="93">
        <v>-90.58</v>
      </c>
      <c r="J1227" s="93">
        <v>55.3</v>
      </c>
      <c r="P1227" s="94">
        <v>16</v>
      </c>
      <c r="Q1227" s="94" t="s">
        <v>1011</v>
      </c>
      <c r="R1227" s="94"/>
      <c r="S1227" s="94" t="s">
        <v>1558</v>
      </c>
      <c r="T1227" s="94" t="s">
        <v>1558</v>
      </c>
      <c r="U1227" s="94" t="s">
        <v>1558</v>
      </c>
      <c r="V1227" s="54" t="s">
        <v>1905</v>
      </c>
      <c r="W1227" s="93">
        <v>1.325</v>
      </c>
      <c r="Z1227" s="93" t="s">
        <v>531</v>
      </c>
      <c r="AD1227" s="35" t="s">
        <v>1509</v>
      </c>
      <c r="AE1227" s="93" t="s">
        <v>281</v>
      </c>
      <c r="AF1227" s="152" t="s">
        <v>666</v>
      </c>
      <c r="AG1227" s="93" t="s">
        <v>673</v>
      </c>
      <c r="AH1227" s="154" t="s">
        <v>1797</v>
      </c>
      <c r="AO1227" s="93" t="s">
        <v>976</v>
      </c>
      <c r="AP1227" s="93" t="s">
        <v>976</v>
      </c>
      <c r="AQ1227" s="93" t="s">
        <v>212</v>
      </c>
      <c r="AR1227" s="93" t="s">
        <v>192</v>
      </c>
      <c r="AS1227" s="93">
        <v>4</v>
      </c>
      <c r="AT1227" s="93">
        <v>4</v>
      </c>
      <c r="AU1227" s="93" t="s">
        <v>169</v>
      </c>
      <c r="AW1227" s="93">
        <v>2439</v>
      </c>
      <c r="AZ1227" s="93" t="s">
        <v>965</v>
      </c>
      <c r="BD1227" s="93">
        <v>3135</v>
      </c>
      <c r="BE1227" s="93">
        <v>2191</v>
      </c>
      <c r="FR1227" s="93" t="s">
        <v>977</v>
      </c>
      <c r="FT1227" s="93">
        <v>57</v>
      </c>
    </row>
    <row r="1228" spans="1:176" s="93" customFormat="1" x14ac:dyDescent="0.25">
      <c r="A1228" s="93">
        <v>57</v>
      </c>
      <c r="B1228" s="93" t="s">
        <v>962</v>
      </c>
      <c r="C1228" s="93" t="s">
        <v>963</v>
      </c>
      <c r="D1228" s="93">
        <v>1990</v>
      </c>
      <c r="E1228" s="93">
        <v>1988</v>
      </c>
      <c r="F1228" s="93" t="s">
        <v>967</v>
      </c>
      <c r="G1228" s="93" t="s">
        <v>964</v>
      </c>
      <c r="H1228" s="93">
        <v>34.200000000000003</v>
      </c>
      <c r="I1228" s="93">
        <v>-90.58</v>
      </c>
      <c r="J1228" s="93">
        <v>55.3</v>
      </c>
      <c r="P1228" s="94">
        <v>16</v>
      </c>
      <c r="Q1228" s="94" t="s">
        <v>1011</v>
      </c>
      <c r="R1228" s="94"/>
      <c r="S1228" s="94" t="s">
        <v>1558</v>
      </c>
      <c r="T1228" s="94" t="s">
        <v>1558</v>
      </c>
      <c r="U1228" s="94" t="s">
        <v>1558</v>
      </c>
      <c r="V1228" s="54" t="s">
        <v>1905</v>
      </c>
      <c r="W1228" s="93">
        <v>1.325</v>
      </c>
      <c r="Z1228" s="93" t="s">
        <v>531</v>
      </c>
      <c r="AD1228" s="35" t="s">
        <v>1509</v>
      </c>
      <c r="AE1228" s="93" t="s">
        <v>1698</v>
      </c>
      <c r="AF1228" s="152" t="s">
        <v>1762</v>
      </c>
      <c r="AG1228" s="93" t="s">
        <v>673</v>
      </c>
      <c r="AH1228" s="154" t="s">
        <v>1797</v>
      </c>
      <c r="AO1228" s="93" t="s">
        <v>976</v>
      </c>
      <c r="AP1228" s="93" t="s">
        <v>976</v>
      </c>
      <c r="AQ1228" s="93" t="s">
        <v>212</v>
      </c>
      <c r="AR1228" s="93" t="s">
        <v>192</v>
      </c>
      <c r="AS1228" s="93">
        <v>4</v>
      </c>
      <c r="AT1228" s="93">
        <v>4</v>
      </c>
      <c r="AU1228" s="93" t="s">
        <v>169</v>
      </c>
      <c r="AW1228" s="93">
        <v>2710</v>
      </c>
      <c r="AZ1228" s="93" t="s">
        <v>965</v>
      </c>
      <c r="BD1228" s="93">
        <v>3135</v>
      </c>
      <c r="BE1228" s="93">
        <v>2596</v>
      </c>
      <c r="FR1228" s="93" t="s">
        <v>977</v>
      </c>
      <c r="FT1228" s="93">
        <v>57</v>
      </c>
    </row>
    <row r="1229" spans="1:176" s="93" customFormat="1" x14ac:dyDescent="0.25">
      <c r="A1229" s="93">
        <v>57</v>
      </c>
      <c r="B1229" s="93" t="s">
        <v>962</v>
      </c>
      <c r="C1229" s="93" t="s">
        <v>963</v>
      </c>
      <c r="D1229" s="93">
        <v>1990</v>
      </c>
      <c r="E1229" s="93">
        <v>1988</v>
      </c>
      <c r="F1229" s="93" t="s">
        <v>967</v>
      </c>
      <c r="G1229" s="93" t="s">
        <v>964</v>
      </c>
      <c r="H1229" s="93">
        <v>34.200000000000003</v>
      </c>
      <c r="I1229" s="93">
        <v>-90.58</v>
      </c>
      <c r="J1229" s="93">
        <v>55.3</v>
      </c>
      <c r="P1229" s="94">
        <v>16</v>
      </c>
      <c r="Q1229" s="94" t="s">
        <v>1011</v>
      </c>
      <c r="R1229" s="94"/>
      <c r="S1229" s="94" t="s">
        <v>1558</v>
      </c>
      <c r="T1229" s="94" t="s">
        <v>1558</v>
      </c>
      <c r="U1229" s="94" t="s">
        <v>1558</v>
      </c>
      <c r="V1229" s="54" t="s">
        <v>1905</v>
      </c>
      <c r="W1229" s="93">
        <v>1.325</v>
      </c>
      <c r="Z1229" s="93" t="s">
        <v>531</v>
      </c>
      <c r="AD1229" s="35" t="s">
        <v>1509</v>
      </c>
      <c r="AE1229" s="93" t="s">
        <v>1699</v>
      </c>
      <c r="AF1229" s="152" t="s">
        <v>1762</v>
      </c>
      <c r="AG1229" s="93" t="s">
        <v>673</v>
      </c>
      <c r="AH1229" s="154" t="s">
        <v>1797</v>
      </c>
      <c r="AO1229" s="93" t="s">
        <v>976</v>
      </c>
      <c r="AP1229" s="93" t="s">
        <v>976</v>
      </c>
      <c r="AQ1229" s="93" t="s">
        <v>212</v>
      </c>
      <c r="AR1229" s="93" t="s">
        <v>192</v>
      </c>
      <c r="AS1229" s="93">
        <v>4</v>
      </c>
      <c r="AT1229" s="93">
        <v>4</v>
      </c>
      <c r="AU1229" s="93" t="s">
        <v>169</v>
      </c>
      <c r="AW1229" s="93">
        <v>3524</v>
      </c>
      <c r="AZ1229" s="93" t="s">
        <v>965</v>
      </c>
      <c r="BD1229" s="93">
        <v>3135</v>
      </c>
      <c r="BE1229" s="93">
        <v>2723</v>
      </c>
      <c r="FR1229" s="93" t="s">
        <v>977</v>
      </c>
      <c r="FT1229" s="93">
        <v>57</v>
      </c>
    </row>
    <row r="1230" spans="1:176" x14ac:dyDescent="0.25">
      <c r="A1230" s="46">
        <v>58</v>
      </c>
      <c r="B1230" s="46" t="s">
        <v>991</v>
      </c>
      <c r="C1230" s="46" t="s">
        <v>992</v>
      </c>
      <c r="D1230" s="46">
        <v>1990</v>
      </c>
      <c r="E1230" s="46">
        <v>1987</v>
      </c>
      <c r="F1230" s="46" t="s">
        <v>993</v>
      </c>
      <c r="G1230" s="46" t="s">
        <v>1020</v>
      </c>
      <c r="H1230" s="46">
        <v>38.92</v>
      </c>
      <c r="I1230" s="46">
        <v>-76.150000000000006</v>
      </c>
      <c r="J1230" s="46">
        <v>5</v>
      </c>
      <c r="M1230" s="46">
        <v>836</v>
      </c>
      <c r="P1230" s="81">
        <v>1</v>
      </c>
      <c r="Q1230" s="46" t="s">
        <v>994</v>
      </c>
      <c r="R1230" s="81" t="s">
        <v>1012</v>
      </c>
      <c r="S1230" s="81" t="s">
        <v>1565</v>
      </c>
      <c r="T1230" s="81" t="s">
        <v>1565</v>
      </c>
      <c r="U1230" s="81" t="s">
        <v>1565</v>
      </c>
      <c r="V1230" s="92" t="s">
        <v>1908</v>
      </c>
      <c r="W1230" s="46">
        <v>1.5</v>
      </c>
      <c r="Z1230" s="46" t="s">
        <v>531</v>
      </c>
      <c r="AD1230" s="46" t="s">
        <v>1510</v>
      </c>
      <c r="AE1230" s="46" t="s">
        <v>159</v>
      </c>
      <c r="AF1230" s="152" t="s">
        <v>159</v>
      </c>
      <c r="AG1230" s="46" t="s">
        <v>160</v>
      </c>
      <c r="AH1230" s="155" t="s">
        <v>160</v>
      </c>
      <c r="AL1230" s="46" t="s">
        <v>269</v>
      </c>
      <c r="AM1230" s="46" t="s">
        <v>269</v>
      </c>
      <c r="AN1230" s="46" t="s">
        <v>212</v>
      </c>
      <c r="AR1230" s="46" t="s">
        <v>147</v>
      </c>
      <c r="AS1230" s="46">
        <v>4</v>
      </c>
      <c r="AT1230" s="46">
        <v>4</v>
      </c>
      <c r="AU1230" s="46" t="s">
        <v>379</v>
      </c>
      <c r="BM1230" s="46">
        <v>9.94</v>
      </c>
      <c r="BN1230" s="46">
        <v>13.11</v>
      </c>
      <c r="BO1230" s="46" t="s">
        <v>1019</v>
      </c>
      <c r="FT1230" s="46">
        <v>58</v>
      </c>
    </row>
    <row r="1231" spans="1:176" x14ac:dyDescent="0.25">
      <c r="A1231" s="46">
        <v>58</v>
      </c>
      <c r="B1231" s="46" t="s">
        <v>991</v>
      </c>
      <c r="C1231" s="46" t="s">
        <v>992</v>
      </c>
      <c r="D1231" s="46">
        <v>1990</v>
      </c>
      <c r="E1231" s="46">
        <v>1987</v>
      </c>
      <c r="F1231" s="46" t="s">
        <v>993</v>
      </c>
      <c r="G1231" s="46" t="s">
        <v>1020</v>
      </c>
      <c r="H1231" s="46">
        <v>38.92</v>
      </c>
      <c r="I1231" s="46">
        <v>-76.150000000000006</v>
      </c>
      <c r="J1231" s="46">
        <v>5</v>
      </c>
      <c r="M1231" s="46">
        <v>836</v>
      </c>
      <c r="P1231" s="81">
        <v>1</v>
      </c>
      <c r="Q1231" s="46" t="s">
        <v>994</v>
      </c>
      <c r="R1231" s="81" t="s">
        <v>1013</v>
      </c>
      <c r="S1231" s="81" t="s">
        <v>1565</v>
      </c>
      <c r="T1231" s="81" t="s">
        <v>1565</v>
      </c>
      <c r="U1231" s="81" t="s">
        <v>1565</v>
      </c>
      <c r="V1231" s="92" t="s">
        <v>1908</v>
      </c>
      <c r="W1231" s="46">
        <v>1.5</v>
      </c>
      <c r="Z1231" s="46" t="s">
        <v>531</v>
      </c>
      <c r="AD1231" s="46" t="s">
        <v>1510</v>
      </c>
      <c r="AE1231" s="46" t="s">
        <v>159</v>
      </c>
      <c r="AF1231" s="152" t="s">
        <v>159</v>
      </c>
      <c r="AG1231" s="46" t="s">
        <v>160</v>
      </c>
      <c r="AH1231" s="155" t="s">
        <v>160</v>
      </c>
      <c r="AL1231" s="46" t="s">
        <v>269</v>
      </c>
      <c r="AM1231" s="46" t="s">
        <v>269</v>
      </c>
      <c r="AN1231" s="46" t="s">
        <v>212</v>
      </c>
      <c r="AR1231" s="46" t="s">
        <v>147</v>
      </c>
      <c r="AS1231" s="46">
        <v>4</v>
      </c>
      <c r="AT1231" s="46">
        <v>4</v>
      </c>
      <c r="AU1231" s="46" t="s">
        <v>379</v>
      </c>
      <c r="BM1231" s="46">
        <v>1.44</v>
      </c>
      <c r="BN1231" s="46">
        <v>7.28</v>
      </c>
      <c r="BO1231" s="46" t="s">
        <v>1019</v>
      </c>
      <c r="FT1231" s="46">
        <v>58</v>
      </c>
    </row>
    <row r="1232" spans="1:176" x14ac:dyDescent="0.25">
      <c r="A1232" s="46">
        <v>58</v>
      </c>
      <c r="B1232" s="46" t="s">
        <v>991</v>
      </c>
      <c r="C1232" s="46" t="s">
        <v>992</v>
      </c>
      <c r="D1232" s="46">
        <v>1990</v>
      </c>
      <c r="E1232" s="46">
        <v>1988</v>
      </c>
      <c r="F1232" s="46" t="s">
        <v>993</v>
      </c>
      <c r="G1232" s="46" t="s">
        <v>1020</v>
      </c>
      <c r="H1232" s="46">
        <v>38.92</v>
      </c>
      <c r="I1232" s="46">
        <v>-76.150000000000006</v>
      </c>
      <c r="J1232" s="46">
        <v>5</v>
      </c>
      <c r="M1232" s="46">
        <v>836</v>
      </c>
      <c r="P1232" s="81">
        <v>2</v>
      </c>
      <c r="Q1232" s="46" t="s">
        <v>994</v>
      </c>
      <c r="R1232" s="81" t="s">
        <v>1014</v>
      </c>
      <c r="S1232" s="81" t="s">
        <v>1565</v>
      </c>
      <c r="T1232" s="81" t="s">
        <v>1565</v>
      </c>
      <c r="U1232" s="81" t="s">
        <v>1565</v>
      </c>
      <c r="V1232" s="92" t="s">
        <v>1908</v>
      </c>
      <c r="W1232" s="46">
        <v>1.5</v>
      </c>
      <c r="Z1232" s="46" t="s">
        <v>531</v>
      </c>
      <c r="AD1232" s="46" t="s">
        <v>1510</v>
      </c>
      <c r="AE1232" s="46" t="s">
        <v>159</v>
      </c>
      <c r="AF1232" s="152" t="s">
        <v>159</v>
      </c>
      <c r="AG1232" s="46" t="s">
        <v>160</v>
      </c>
      <c r="AH1232" s="155" t="s">
        <v>160</v>
      </c>
      <c r="AL1232" s="46" t="s">
        <v>269</v>
      </c>
      <c r="AM1232" s="46" t="s">
        <v>269</v>
      </c>
      <c r="AN1232" s="46" t="s">
        <v>212</v>
      </c>
      <c r="AR1232" s="46" t="s">
        <v>147</v>
      </c>
      <c r="AS1232" s="46">
        <v>4</v>
      </c>
      <c r="AT1232" s="46">
        <v>4</v>
      </c>
      <c r="AU1232" s="46" t="s">
        <v>379</v>
      </c>
      <c r="BM1232" s="46">
        <v>1.75</v>
      </c>
      <c r="BN1232" s="46">
        <v>3.6</v>
      </c>
      <c r="BO1232" s="46" t="s">
        <v>1019</v>
      </c>
      <c r="FT1232" s="46">
        <v>58</v>
      </c>
    </row>
    <row r="1233" spans="1:176" x14ac:dyDescent="0.25">
      <c r="A1233" s="46">
        <v>58</v>
      </c>
      <c r="B1233" s="46" t="s">
        <v>991</v>
      </c>
      <c r="C1233" s="46" t="s">
        <v>992</v>
      </c>
      <c r="D1233" s="46">
        <v>1990</v>
      </c>
      <c r="E1233" s="46">
        <v>1988</v>
      </c>
      <c r="F1233" s="46" t="s">
        <v>993</v>
      </c>
      <c r="G1233" s="46" t="s">
        <v>1020</v>
      </c>
      <c r="H1233" s="46">
        <v>38.92</v>
      </c>
      <c r="I1233" s="46">
        <v>-76.150000000000006</v>
      </c>
      <c r="J1233" s="46">
        <v>5</v>
      </c>
      <c r="M1233" s="46">
        <v>836</v>
      </c>
      <c r="P1233" s="81">
        <v>2</v>
      </c>
      <c r="Q1233" s="46" t="s">
        <v>994</v>
      </c>
      <c r="R1233" s="81" t="s">
        <v>878</v>
      </c>
      <c r="S1233" s="81" t="s">
        <v>1565</v>
      </c>
      <c r="T1233" s="81" t="s">
        <v>1565</v>
      </c>
      <c r="U1233" s="81" t="s">
        <v>1565</v>
      </c>
      <c r="V1233" s="92" t="s">
        <v>1908</v>
      </c>
      <c r="W1233" s="46">
        <v>1.5</v>
      </c>
      <c r="Z1233" s="46" t="s">
        <v>531</v>
      </c>
      <c r="AD1233" s="46" t="s">
        <v>1510</v>
      </c>
      <c r="AE1233" s="46" t="s">
        <v>159</v>
      </c>
      <c r="AF1233" s="152" t="s">
        <v>159</v>
      </c>
      <c r="AG1233" s="46" t="s">
        <v>160</v>
      </c>
      <c r="AH1233" s="155" t="s">
        <v>160</v>
      </c>
      <c r="AL1233" s="46" t="s">
        <v>269</v>
      </c>
      <c r="AM1233" s="46" t="s">
        <v>269</v>
      </c>
      <c r="AN1233" s="46" t="s">
        <v>212</v>
      </c>
      <c r="AR1233" s="46" t="s">
        <v>147</v>
      </c>
      <c r="AS1233" s="46">
        <v>4</v>
      </c>
      <c r="AT1233" s="46">
        <v>4</v>
      </c>
      <c r="AU1233" s="46" t="s">
        <v>379</v>
      </c>
      <c r="BM1233" s="46">
        <v>0.43</v>
      </c>
      <c r="BN1233" s="46">
        <v>0.74</v>
      </c>
      <c r="BO1233" s="46" t="s">
        <v>1019</v>
      </c>
      <c r="FT1233" s="46">
        <v>58</v>
      </c>
    </row>
    <row r="1234" spans="1:176" x14ac:dyDescent="0.25">
      <c r="A1234" s="46">
        <v>58</v>
      </c>
      <c r="B1234" s="46" t="s">
        <v>991</v>
      </c>
      <c r="C1234" s="46" t="s">
        <v>992</v>
      </c>
      <c r="D1234" s="46">
        <v>1990</v>
      </c>
      <c r="E1234" s="46">
        <v>1988</v>
      </c>
      <c r="F1234" s="46" t="s">
        <v>993</v>
      </c>
      <c r="G1234" s="46" t="s">
        <v>1020</v>
      </c>
      <c r="H1234" s="46">
        <v>38.92</v>
      </c>
      <c r="I1234" s="46">
        <v>-76.150000000000006</v>
      </c>
      <c r="J1234" s="46">
        <v>5</v>
      </c>
      <c r="M1234" s="46">
        <v>836</v>
      </c>
      <c r="P1234" s="81">
        <v>2</v>
      </c>
      <c r="Q1234" s="46" t="s">
        <v>994</v>
      </c>
      <c r="R1234" s="81" t="s">
        <v>1015</v>
      </c>
      <c r="S1234" s="81" t="s">
        <v>1565</v>
      </c>
      <c r="T1234" s="81" t="s">
        <v>1565</v>
      </c>
      <c r="U1234" s="81" t="s">
        <v>1565</v>
      </c>
      <c r="V1234" s="92" t="s">
        <v>1908</v>
      </c>
      <c r="W1234" s="46">
        <v>1.5</v>
      </c>
      <c r="Z1234" s="46" t="s">
        <v>531</v>
      </c>
      <c r="AD1234" s="46" t="s">
        <v>1510</v>
      </c>
      <c r="AE1234" s="46" t="s">
        <v>159</v>
      </c>
      <c r="AF1234" s="152" t="s">
        <v>159</v>
      </c>
      <c r="AG1234" s="46" t="s">
        <v>160</v>
      </c>
      <c r="AH1234" s="155" t="s">
        <v>160</v>
      </c>
      <c r="AL1234" s="46" t="s">
        <v>269</v>
      </c>
      <c r="AM1234" s="46" t="s">
        <v>269</v>
      </c>
      <c r="AN1234" s="46" t="s">
        <v>212</v>
      </c>
      <c r="AR1234" s="46" t="s">
        <v>147</v>
      </c>
      <c r="AS1234" s="46">
        <v>4</v>
      </c>
      <c r="AT1234" s="46">
        <v>4</v>
      </c>
      <c r="AU1234" s="46" t="s">
        <v>379</v>
      </c>
      <c r="BM1234" s="46">
        <v>1.98</v>
      </c>
      <c r="BN1234" s="46">
        <v>9.15</v>
      </c>
      <c r="BO1234" s="46" t="s">
        <v>1019</v>
      </c>
      <c r="FT1234" s="46">
        <v>58</v>
      </c>
    </row>
    <row r="1235" spans="1:176" x14ac:dyDescent="0.25">
      <c r="A1235" s="46">
        <v>58</v>
      </c>
      <c r="B1235" s="46" t="s">
        <v>991</v>
      </c>
      <c r="C1235" s="46" t="s">
        <v>992</v>
      </c>
      <c r="D1235" s="46">
        <v>1990</v>
      </c>
      <c r="E1235" s="46">
        <v>1988</v>
      </c>
      <c r="F1235" s="46" t="s">
        <v>993</v>
      </c>
      <c r="G1235" s="46" t="s">
        <v>1020</v>
      </c>
      <c r="H1235" s="46">
        <v>38.92</v>
      </c>
      <c r="I1235" s="46">
        <v>-76.150000000000006</v>
      </c>
      <c r="J1235" s="46">
        <v>5</v>
      </c>
      <c r="M1235" s="46">
        <v>836</v>
      </c>
      <c r="P1235" s="81">
        <v>2</v>
      </c>
      <c r="Q1235" s="46" t="s">
        <v>994</v>
      </c>
      <c r="R1235" s="81" t="s">
        <v>1018</v>
      </c>
      <c r="S1235" s="81" t="s">
        <v>1565</v>
      </c>
      <c r="T1235" s="81" t="s">
        <v>1565</v>
      </c>
      <c r="U1235" s="81" t="s">
        <v>1565</v>
      </c>
      <c r="V1235" s="92" t="s">
        <v>1908</v>
      </c>
      <c r="W1235" s="46">
        <v>1.5</v>
      </c>
      <c r="Z1235" s="46" t="s">
        <v>531</v>
      </c>
      <c r="AD1235" s="46" t="s">
        <v>1510</v>
      </c>
      <c r="AE1235" s="46" t="s">
        <v>159</v>
      </c>
      <c r="AF1235" s="152" t="s">
        <v>159</v>
      </c>
      <c r="AG1235" s="46" t="s">
        <v>160</v>
      </c>
      <c r="AH1235" s="155" t="s">
        <v>160</v>
      </c>
      <c r="AL1235" s="46" t="s">
        <v>269</v>
      </c>
      <c r="AM1235" s="46" t="s">
        <v>269</v>
      </c>
      <c r="AN1235" s="46" t="s">
        <v>212</v>
      </c>
      <c r="AR1235" s="46" t="s">
        <v>147</v>
      </c>
      <c r="AS1235" s="46">
        <v>4</v>
      </c>
      <c r="AT1235" s="46">
        <v>4</v>
      </c>
      <c r="AU1235" s="46" t="s">
        <v>379</v>
      </c>
      <c r="BM1235" s="46">
        <v>18.989999999999998</v>
      </c>
      <c r="BN1235" s="46">
        <v>31.89</v>
      </c>
      <c r="BO1235" s="46" t="s">
        <v>1019</v>
      </c>
      <c r="FT1235" s="46">
        <v>58</v>
      </c>
    </row>
    <row r="1236" spans="1:176" x14ac:dyDescent="0.25">
      <c r="A1236" s="46">
        <v>58</v>
      </c>
      <c r="B1236" s="46" t="s">
        <v>991</v>
      </c>
      <c r="C1236" s="46" t="s">
        <v>992</v>
      </c>
      <c r="D1236" s="46">
        <v>1990</v>
      </c>
      <c r="E1236" s="46">
        <v>1988</v>
      </c>
      <c r="F1236" s="46" t="s">
        <v>993</v>
      </c>
      <c r="G1236" s="46" t="s">
        <v>1020</v>
      </c>
      <c r="H1236" s="46">
        <v>38.92</v>
      </c>
      <c r="I1236" s="46">
        <v>-76.150000000000006</v>
      </c>
      <c r="J1236" s="46">
        <v>5</v>
      </c>
      <c r="M1236" s="46">
        <v>836</v>
      </c>
      <c r="P1236" s="81">
        <v>2</v>
      </c>
      <c r="Q1236" s="46" t="s">
        <v>994</v>
      </c>
      <c r="R1236" s="81" t="s">
        <v>1016</v>
      </c>
      <c r="S1236" s="81" t="s">
        <v>1565</v>
      </c>
      <c r="T1236" s="81" t="s">
        <v>1565</v>
      </c>
      <c r="U1236" s="81" t="s">
        <v>1565</v>
      </c>
      <c r="V1236" s="92" t="s">
        <v>1908</v>
      </c>
      <c r="W1236" s="46">
        <v>1.5</v>
      </c>
      <c r="Z1236" s="46" t="s">
        <v>531</v>
      </c>
      <c r="AD1236" s="46" t="s">
        <v>1510</v>
      </c>
      <c r="AE1236" s="46" t="s">
        <v>159</v>
      </c>
      <c r="AF1236" s="152" t="s">
        <v>159</v>
      </c>
      <c r="AG1236" s="46" t="s">
        <v>160</v>
      </c>
      <c r="AH1236" s="155" t="s">
        <v>160</v>
      </c>
      <c r="AL1236" s="46" t="s">
        <v>269</v>
      </c>
      <c r="AM1236" s="46" t="s">
        <v>269</v>
      </c>
      <c r="AN1236" s="46" t="s">
        <v>212</v>
      </c>
      <c r="AR1236" s="46" t="s">
        <v>147</v>
      </c>
      <c r="AS1236" s="46">
        <v>4</v>
      </c>
      <c r="AT1236" s="46">
        <v>4</v>
      </c>
      <c r="AU1236" s="46" t="s">
        <v>379</v>
      </c>
      <c r="BM1236" s="46">
        <v>16.329999999999998</v>
      </c>
      <c r="BN1236" s="46">
        <v>36.200000000000003</v>
      </c>
      <c r="BO1236" s="46" t="s">
        <v>1019</v>
      </c>
      <c r="FT1236" s="46">
        <v>58</v>
      </c>
    </row>
    <row r="1237" spans="1:176" x14ac:dyDescent="0.25">
      <c r="A1237" s="46">
        <v>58</v>
      </c>
      <c r="B1237" s="46" t="s">
        <v>991</v>
      </c>
      <c r="C1237" s="46" t="s">
        <v>992</v>
      </c>
      <c r="D1237" s="46">
        <v>1990</v>
      </c>
      <c r="E1237" s="46">
        <v>1988</v>
      </c>
      <c r="F1237" s="46" t="s">
        <v>993</v>
      </c>
      <c r="G1237" s="46" t="s">
        <v>1020</v>
      </c>
      <c r="H1237" s="46">
        <v>38.92</v>
      </c>
      <c r="I1237" s="46">
        <v>-76.150000000000006</v>
      </c>
      <c r="J1237" s="46">
        <v>5</v>
      </c>
      <c r="M1237" s="46">
        <v>836</v>
      </c>
      <c r="P1237" s="81">
        <v>2</v>
      </c>
      <c r="Q1237" s="46" t="s">
        <v>994</v>
      </c>
      <c r="R1237" s="81" t="s">
        <v>1017</v>
      </c>
      <c r="S1237" s="81" t="s">
        <v>1565</v>
      </c>
      <c r="T1237" s="81" t="s">
        <v>1565</v>
      </c>
      <c r="U1237" s="81" t="s">
        <v>1565</v>
      </c>
      <c r="V1237" s="92" t="s">
        <v>1908</v>
      </c>
      <c r="W1237" s="46">
        <v>1.5</v>
      </c>
      <c r="Z1237" s="46" t="s">
        <v>531</v>
      </c>
      <c r="AD1237" s="46" t="s">
        <v>1510</v>
      </c>
      <c r="AE1237" s="46" t="s">
        <v>159</v>
      </c>
      <c r="AF1237" s="152" t="s">
        <v>159</v>
      </c>
      <c r="AG1237" s="46" t="s">
        <v>160</v>
      </c>
      <c r="AH1237" s="155" t="s">
        <v>160</v>
      </c>
      <c r="AL1237" s="46" t="s">
        <v>269</v>
      </c>
      <c r="AM1237" s="46" t="s">
        <v>269</v>
      </c>
      <c r="AN1237" s="46" t="s">
        <v>212</v>
      </c>
      <c r="AR1237" s="46" t="s">
        <v>147</v>
      </c>
      <c r="AS1237" s="46">
        <v>4</v>
      </c>
      <c r="AT1237" s="46">
        <v>4</v>
      </c>
      <c r="AU1237" s="46" t="s">
        <v>379</v>
      </c>
      <c r="BM1237" s="46">
        <v>25.04</v>
      </c>
      <c r="BN1237" s="46">
        <v>47.06</v>
      </c>
      <c r="BO1237" s="46" t="s">
        <v>1019</v>
      </c>
      <c r="FT1237" s="46">
        <v>58</v>
      </c>
    </row>
    <row r="1238" spans="1:176" s="31" customFormat="1" x14ac:dyDescent="0.25">
      <c r="A1238" s="31">
        <v>58</v>
      </c>
      <c r="B1238" s="31" t="s">
        <v>991</v>
      </c>
      <c r="C1238" s="31" t="s">
        <v>992</v>
      </c>
      <c r="D1238" s="31">
        <v>1990</v>
      </c>
      <c r="E1238" s="31">
        <v>1987</v>
      </c>
      <c r="F1238" s="31" t="s">
        <v>993</v>
      </c>
      <c r="G1238" s="31" t="s">
        <v>1020</v>
      </c>
      <c r="H1238" s="31">
        <v>38.92</v>
      </c>
      <c r="I1238" s="31">
        <v>-76.150000000000006</v>
      </c>
      <c r="J1238" s="31">
        <v>5</v>
      </c>
      <c r="M1238" s="31">
        <v>836</v>
      </c>
      <c r="P1238" s="56">
        <v>1</v>
      </c>
      <c r="Q1238" s="31" t="s">
        <v>994</v>
      </c>
      <c r="R1238" s="56" t="s">
        <v>1013</v>
      </c>
      <c r="S1238" s="56" t="s">
        <v>1565</v>
      </c>
      <c r="T1238" s="56" t="s">
        <v>1565</v>
      </c>
      <c r="U1238" s="56" t="s">
        <v>1565</v>
      </c>
      <c r="V1238" s="56" t="s">
        <v>1908</v>
      </c>
      <c r="W1238" s="31">
        <v>1.5</v>
      </c>
      <c r="Z1238" s="31" t="s">
        <v>531</v>
      </c>
      <c r="AD1238" s="31" t="s">
        <v>1510</v>
      </c>
      <c r="AE1238" s="31" t="s">
        <v>159</v>
      </c>
      <c r="AF1238" s="152" t="s">
        <v>159</v>
      </c>
      <c r="AG1238" s="31" t="s">
        <v>160</v>
      </c>
      <c r="AH1238" s="155" t="s">
        <v>160</v>
      </c>
      <c r="AL1238" s="31" t="s">
        <v>188</v>
      </c>
      <c r="AM1238" s="31" t="s">
        <v>188</v>
      </c>
      <c r="AN1238" s="31" t="s">
        <v>212</v>
      </c>
      <c r="AR1238" s="31" t="s">
        <v>147</v>
      </c>
      <c r="AS1238" s="31">
        <v>4</v>
      </c>
      <c r="AT1238" s="31">
        <v>4</v>
      </c>
      <c r="AU1238" s="31" t="s">
        <v>379</v>
      </c>
      <c r="BM1238" s="31">
        <v>38.520000000000003</v>
      </c>
      <c r="BN1238" s="31">
        <v>23.56</v>
      </c>
      <c r="BO1238" s="31" t="s">
        <v>1019</v>
      </c>
      <c r="FT1238" s="31">
        <v>58</v>
      </c>
    </row>
    <row r="1239" spans="1:176" s="31" customFormat="1" x14ac:dyDescent="0.25">
      <c r="A1239" s="31">
        <v>58</v>
      </c>
      <c r="B1239" s="31" t="s">
        <v>991</v>
      </c>
      <c r="C1239" s="31" t="s">
        <v>992</v>
      </c>
      <c r="D1239" s="31">
        <v>1990</v>
      </c>
      <c r="E1239" s="31">
        <v>1988</v>
      </c>
      <c r="F1239" s="31" t="s">
        <v>993</v>
      </c>
      <c r="G1239" s="31" t="s">
        <v>1020</v>
      </c>
      <c r="H1239" s="31">
        <v>38.92</v>
      </c>
      <c r="I1239" s="31">
        <v>-76.150000000000006</v>
      </c>
      <c r="J1239" s="31">
        <v>5</v>
      </c>
      <c r="M1239" s="31">
        <v>836</v>
      </c>
      <c r="P1239" s="56">
        <v>2</v>
      </c>
      <c r="Q1239" s="31" t="s">
        <v>994</v>
      </c>
      <c r="R1239" s="56" t="s">
        <v>1014</v>
      </c>
      <c r="S1239" s="56" t="s">
        <v>1565</v>
      </c>
      <c r="T1239" s="56" t="s">
        <v>1565</v>
      </c>
      <c r="U1239" s="56" t="s">
        <v>1565</v>
      </c>
      <c r="V1239" s="56" t="s">
        <v>1908</v>
      </c>
      <c r="W1239" s="31">
        <v>1.5</v>
      </c>
      <c r="Z1239" s="31" t="s">
        <v>531</v>
      </c>
      <c r="AD1239" s="31" t="s">
        <v>1510</v>
      </c>
      <c r="AE1239" s="31" t="s">
        <v>159</v>
      </c>
      <c r="AF1239" s="152" t="s">
        <v>159</v>
      </c>
      <c r="AG1239" s="31" t="s">
        <v>160</v>
      </c>
      <c r="AH1239" s="155" t="s">
        <v>160</v>
      </c>
      <c r="AL1239" s="31" t="s">
        <v>188</v>
      </c>
      <c r="AM1239" s="31" t="s">
        <v>188</v>
      </c>
      <c r="AN1239" s="31" t="s">
        <v>212</v>
      </c>
      <c r="AR1239" s="31" t="s">
        <v>147</v>
      </c>
      <c r="AS1239" s="31">
        <v>4</v>
      </c>
      <c r="AT1239" s="31">
        <v>4</v>
      </c>
      <c r="AU1239" s="31" t="s">
        <v>379</v>
      </c>
      <c r="BM1239" s="31">
        <v>11.89</v>
      </c>
      <c r="BN1239" s="31">
        <v>6.27</v>
      </c>
      <c r="BO1239" s="31" t="s">
        <v>1019</v>
      </c>
      <c r="FT1239" s="31">
        <v>58</v>
      </c>
    </row>
    <row r="1240" spans="1:176" s="31" customFormat="1" x14ac:dyDescent="0.25">
      <c r="A1240" s="31">
        <v>58</v>
      </c>
      <c r="B1240" s="31" t="s">
        <v>991</v>
      </c>
      <c r="C1240" s="31" t="s">
        <v>992</v>
      </c>
      <c r="D1240" s="31">
        <v>1990</v>
      </c>
      <c r="E1240" s="31">
        <v>1988</v>
      </c>
      <c r="F1240" s="31" t="s">
        <v>993</v>
      </c>
      <c r="G1240" s="31" t="s">
        <v>1020</v>
      </c>
      <c r="H1240" s="31">
        <v>38.92</v>
      </c>
      <c r="I1240" s="31">
        <v>-76.150000000000006</v>
      </c>
      <c r="J1240" s="31">
        <v>5</v>
      </c>
      <c r="M1240" s="31">
        <v>836</v>
      </c>
      <c r="P1240" s="56">
        <v>2</v>
      </c>
      <c r="Q1240" s="31" t="s">
        <v>994</v>
      </c>
      <c r="R1240" s="56" t="s">
        <v>878</v>
      </c>
      <c r="S1240" s="56" t="s">
        <v>1565</v>
      </c>
      <c r="T1240" s="56" t="s">
        <v>1565</v>
      </c>
      <c r="U1240" s="56" t="s">
        <v>1565</v>
      </c>
      <c r="V1240" s="56" t="s">
        <v>1908</v>
      </c>
      <c r="W1240" s="31">
        <v>1.5</v>
      </c>
      <c r="Z1240" s="31" t="s">
        <v>531</v>
      </c>
      <c r="AD1240" s="31" t="s">
        <v>1510</v>
      </c>
      <c r="AE1240" s="31" t="s">
        <v>159</v>
      </c>
      <c r="AF1240" s="152" t="s">
        <v>159</v>
      </c>
      <c r="AG1240" s="31" t="s">
        <v>160</v>
      </c>
      <c r="AH1240" s="155" t="s">
        <v>160</v>
      </c>
      <c r="AL1240" s="31" t="s">
        <v>188</v>
      </c>
      <c r="AM1240" s="31" t="s">
        <v>188</v>
      </c>
      <c r="AN1240" s="31" t="s">
        <v>212</v>
      </c>
      <c r="AR1240" s="31" t="s">
        <v>147</v>
      </c>
      <c r="AS1240" s="31">
        <v>4</v>
      </c>
      <c r="AT1240" s="31">
        <v>4</v>
      </c>
      <c r="AU1240" s="31" t="s">
        <v>379</v>
      </c>
      <c r="BM1240" s="31">
        <v>0.74</v>
      </c>
      <c r="BN1240" s="31">
        <v>2.48</v>
      </c>
      <c r="BO1240" s="31" t="s">
        <v>1019</v>
      </c>
      <c r="FT1240" s="31">
        <v>58</v>
      </c>
    </row>
    <row r="1241" spans="1:176" s="31" customFormat="1" x14ac:dyDescent="0.25">
      <c r="A1241" s="31">
        <v>58</v>
      </c>
      <c r="B1241" s="31" t="s">
        <v>991</v>
      </c>
      <c r="C1241" s="31" t="s">
        <v>992</v>
      </c>
      <c r="D1241" s="31">
        <v>1990</v>
      </c>
      <c r="E1241" s="31">
        <v>1988</v>
      </c>
      <c r="F1241" s="31" t="s">
        <v>993</v>
      </c>
      <c r="G1241" s="31" t="s">
        <v>1020</v>
      </c>
      <c r="H1241" s="31">
        <v>38.92</v>
      </c>
      <c r="I1241" s="31">
        <v>-76.150000000000006</v>
      </c>
      <c r="J1241" s="31">
        <v>5</v>
      </c>
      <c r="M1241" s="31">
        <v>836</v>
      </c>
      <c r="P1241" s="56">
        <v>2</v>
      </c>
      <c r="Q1241" s="31" t="s">
        <v>994</v>
      </c>
      <c r="R1241" s="56" t="s">
        <v>1015</v>
      </c>
      <c r="S1241" s="56" t="s">
        <v>1565</v>
      </c>
      <c r="T1241" s="56" t="s">
        <v>1565</v>
      </c>
      <c r="U1241" s="56" t="s">
        <v>1565</v>
      </c>
      <c r="V1241" s="56" t="s">
        <v>1908</v>
      </c>
      <c r="W1241" s="31">
        <v>1.5</v>
      </c>
      <c r="Z1241" s="31" t="s">
        <v>531</v>
      </c>
      <c r="AD1241" s="31" t="s">
        <v>1510</v>
      </c>
      <c r="AE1241" s="31" t="s">
        <v>159</v>
      </c>
      <c r="AF1241" s="152" t="s">
        <v>159</v>
      </c>
      <c r="AG1241" s="31" t="s">
        <v>160</v>
      </c>
      <c r="AH1241" s="155" t="s">
        <v>160</v>
      </c>
      <c r="AL1241" s="31" t="s">
        <v>188</v>
      </c>
      <c r="AM1241" s="31" t="s">
        <v>188</v>
      </c>
      <c r="AN1241" s="31" t="s">
        <v>212</v>
      </c>
      <c r="AR1241" s="31" t="s">
        <v>147</v>
      </c>
      <c r="AS1241" s="31">
        <v>4</v>
      </c>
      <c r="AT1241" s="31">
        <v>4</v>
      </c>
      <c r="AU1241" s="31" t="s">
        <v>379</v>
      </c>
      <c r="BM1241" s="31">
        <v>0.31</v>
      </c>
      <c r="BN1241" s="31">
        <v>13.04</v>
      </c>
      <c r="BO1241" s="31" t="s">
        <v>1019</v>
      </c>
      <c r="FT1241" s="31">
        <v>58</v>
      </c>
    </row>
    <row r="1242" spans="1:176" s="31" customFormat="1" x14ac:dyDescent="0.25">
      <c r="A1242" s="31">
        <v>58</v>
      </c>
      <c r="B1242" s="31" t="s">
        <v>991</v>
      </c>
      <c r="C1242" s="31" t="s">
        <v>992</v>
      </c>
      <c r="D1242" s="31">
        <v>1990</v>
      </c>
      <c r="E1242" s="31">
        <v>1988</v>
      </c>
      <c r="F1242" s="31" t="s">
        <v>993</v>
      </c>
      <c r="G1242" s="31" t="s">
        <v>1020</v>
      </c>
      <c r="H1242" s="31">
        <v>38.92</v>
      </c>
      <c r="I1242" s="31">
        <v>-76.150000000000006</v>
      </c>
      <c r="J1242" s="31">
        <v>5</v>
      </c>
      <c r="M1242" s="31">
        <v>836</v>
      </c>
      <c r="P1242" s="56">
        <v>2</v>
      </c>
      <c r="Q1242" s="31" t="s">
        <v>994</v>
      </c>
      <c r="R1242" s="56" t="s">
        <v>1018</v>
      </c>
      <c r="S1242" s="56" t="s">
        <v>1565</v>
      </c>
      <c r="T1242" s="56" t="s">
        <v>1565</v>
      </c>
      <c r="U1242" s="56" t="s">
        <v>1565</v>
      </c>
      <c r="V1242" s="56" t="s">
        <v>1908</v>
      </c>
      <c r="W1242" s="31">
        <v>1.5</v>
      </c>
      <c r="Z1242" s="31" t="s">
        <v>531</v>
      </c>
      <c r="AD1242" s="31" t="s">
        <v>1510</v>
      </c>
      <c r="AE1242" s="31" t="s">
        <v>159</v>
      </c>
      <c r="AF1242" s="152" t="s">
        <v>159</v>
      </c>
      <c r="AG1242" s="31" t="s">
        <v>160</v>
      </c>
      <c r="AH1242" s="155" t="s">
        <v>160</v>
      </c>
      <c r="AL1242" s="31" t="s">
        <v>188</v>
      </c>
      <c r="AM1242" s="31" t="s">
        <v>188</v>
      </c>
      <c r="AN1242" s="31" t="s">
        <v>212</v>
      </c>
      <c r="AR1242" s="31" t="s">
        <v>147</v>
      </c>
      <c r="AS1242" s="31">
        <v>4</v>
      </c>
      <c r="AT1242" s="31">
        <v>4</v>
      </c>
      <c r="AU1242" s="31" t="s">
        <v>379</v>
      </c>
      <c r="BM1242" s="31">
        <v>18.89</v>
      </c>
      <c r="BN1242" s="31">
        <v>33.33</v>
      </c>
      <c r="BO1242" s="31" t="s">
        <v>1019</v>
      </c>
      <c r="FT1242" s="31">
        <v>58</v>
      </c>
    </row>
    <row r="1243" spans="1:176" s="31" customFormat="1" x14ac:dyDescent="0.25">
      <c r="A1243" s="31">
        <v>58</v>
      </c>
      <c r="B1243" s="31" t="s">
        <v>991</v>
      </c>
      <c r="C1243" s="31" t="s">
        <v>992</v>
      </c>
      <c r="D1243" s="31">
        <v>1990</v>
      </c>
      <c r="E1243" s="31">
        <v>1988</v>
      </c>
      <c r="F1243" s="31" t="s">
        <v>993</v>
      </c>
      <c r="G1243" s="31" t="s">
        <v>1020</v>
      </c>
      <c r="H1243" s="31">
        <v>38.92</v>
      </c>
      <c r="I1243" s="31">
        <v>-76.150000000000006</v>
      </c>
      <c r="J1243" s="31">
        <v>5</v>
      </c>
      <c r="M1243" s="31">
        <v>836</v>
      </c>
      <c r="P1243" s="56">
        <v>2</v>
      </c>
      <c r="Q1243" s="31" t="s">
        <v>994</v>
      </c>
      <c r="R1243" s="56" t="s">
        <v>1016</v>
      </c>
      <c r="S1243" s="56" t="s">
        <v>1565</v>
      </c>
      <c r="T1243" s="56" t="s">
        <v>1565</v>
      </c>
      <c r="U1243" s="56" t="s">
        <v>1565</v>
      </c>
      <c r="V1243" s="56" t="s">
        <v>1908</v>
      </c>
      <c r="W1243" s="31">
        <v>1.5</v>
      </c>
      <c r="Z1243" s="31" t="s">
        <v>531</v>
      </c>
      <c r="AD1243" s="31" t="s">
        <v>1510</v>
      </c>
      <c r="AE1243" s="31" t="s">
        <v>159</v>
      </c>
      <c r="AF1243" s="152" t="s">
        <v>159</v>
      </c>
      <c r="AG1243" s="31" t="s">
        <v>160</v>
      </c>
      <c r="AH1243" s="155" t="s">
        <v>160</v>
      </c>
      <c r="AL1243" s="31" t="s">
        <v>188</v>
      </c>
      <c r="AM1243" s="31" t="s">
        <v>188</v>
      </c>
      <c r="AN1243" s="31" t="s">
        <v>212</v>
      </c>
      <c r="AR1243" s="31" t="s">
        <v>147</v>
      </c>
      <c r="AS1243" s="31">
        <v>4</v>
      </c>
      <c r="AT1243" s="31">
        <v>4</v>
      </c>
      <c r="AU1243" s="31" t="s">
        <v>379</v>
      </c>
      <c r="BM1243" s="31">
        <v>28.93</v>
      </c>
      <c r="BN1243" s="31">
        <v>28.93</v>
      </c>
      <c r="BO1243" s="31" t="s">
        <v>1019</v>
      </c>
      <c r="FT1243" s="31">
        <v>58</v>
      </c>
    </row>
    <row r="1244" spans="1:176" s="31" customFormat="1" x14ac:dyDescent="0.25">
      <c r="A1244" s="31">
        <v>58</v>
      </c>
      <c r="B1244" s="31" t="s">
        <v>991</v>
      </c>
      <c r="C1244" s="31" t="s">
        <v>992</v>
      </c>
      <c r="D1244" s="31">
        <v>1990</v>
      </c>
      <c r="E1244" s="31">
        <v>1988</v>
      </c>
      <c r="F1244" s="31" t="s">
        <v>993</v>
      </c>
      <c r="G1244" s="31" t="s">
        <v>1020</v>
      </c>
      <c r="H1244" s="31">
        <v>38.92</v>
      </c>
      <c r="I1244" s="31">
        <v>-76.150000000000006</v>
      </c>
      <c r="J1244" s="31">
        <v>5</v>
      </c>
      <c r="M1244" s="31">
        <v>836</v>
      </c>
      <c r="P1244" s="56">
        <v>2</v>
      </c>
      <c r="Q1244" s="31" t="s">
        <v>994</v>
      </c>
      <c r="R1244" s="56" t="s">
        <v>1017</v>
      </c>
      <c r="S1244" s="56" t="s">
        <v>1565</v>
      </c>
      <c r="T1244" s="56" t="s">
        <v>1565</v>
      </c>
      <c r="U1244" s="56" t="s">
        <v>1565</v>
      </c>
      <c r="V1244" s="56" t="s">
        <v>1908</v>
      </c>
      <c r="W1244" s="31">
        <v>1.5</v>
      </c>
      <c r="Z1244" s="31" t="s">
        <v>531</v>
      </c>
      <c r="AD1244" s="31" t="s">
        <v>1510</v>
      </c>
      <c r="AE1244" s="31" t="s">
        <v>159</v>
      </c>
      <c r="AF1244" s="152" t="s">
        <v>159</v>
      </c>
      <c r="AG1244" s="31" t="s">
        <v>160</v>
      </c>
      <c r="AH1244" s="155" t="s">
        <v>160</v>
      </c>
      <c r="AL1244" s="31" t="s">
        <v>188</v>
      </c>
      <c r="AM1244" s="31" t="s">
        <v>188</v>
      </c>
      <c r="AN1244" s="31" t="s">
        <v>212</v>
      </c>
      <c r="AR1244" s="31" t="s">
        <v>147</v>
      </c>
      <c r="AS1244" s="31">
        <v>4</v>
      </c>
      <c r="AT1244" s="31">
        <v>4</v>
      </c>
      <c r="AU1244" s="31" t="s">
        <v>379</v>
      </c>
      <c r="BM1244" s="31">
        <v>9.57</v>
      </c>
      <c r="BN1244" s="31">
        <v>64.98</v>
      </c>
      <c r="BO1244" s="31" t="s">
        <v>1019</v>
      </c>
      <c r="FT1244" s="31">
        <v>58</v>
      </c>
    </row>
    <row r="1245" spans="1:176" s="47" customFormat="1" x14ac:dyDescent="0.25">
      <c r="A1245" s="47">
        <v>59</v>
      </c>
      <c r="B1245" s="47" t="s">
        <v>991</v>
      </c>
      <c r="C1245" s="47" t="s">
        <v>992</v>
      </c>
      <c r="D1245" s="47">
        <v>1997</v>
      </c>
      <c r="E1245" s="47">
        <v>1990</v>
      </c>
      <c r="F1245" s="47" t="s">
        <v>993</v>
      </c>
      <c r="G1245" s="47" t="s">
        <v>1020</v>
      </c>
      <c r="H1245" s="47">
        <v>38.92</v>
      </c>
      <c r="I1245" s="47">
        <v>-76.150000000000006</v>
      </c>
      <c r="J1245" s="47">
        <v>5</v>
      </c>
      <c r="M1245" s="47">
        <v>1007</v>
      </c>
      <c r="P1245" s="82">
        <v>4</v>
      </c>
      <c r="Q1245" s="82" t="s">
        <v>994</v>
      </c>
      <c r="R1245" s="82"/>
      <c r="S1245" s="82" t="s">
        <v>1565</v>
      </c>
      <c r="T1245" s="82" t="s">
        <v>1565</v>
      </c>
      <c r="U1245" s="82" t="s">
        <v>1593</v>
      </c>
      <c r="V1245" s="82" t="s">
        <v>1908</v>
      </c>
      <c r="W1245" s="47">
        <v>1.5</v>
      </c>
      <c r="Z1245" s="47" t="s">
        <v>531</v>
      </c>
      <c r="AD1245" s="47" t="s">
        <v>1510</v>
      </c>
      <c r="AE1245" s="47" t="s">
        <v>159</v>
      </c>
      <c r="AF1245" s="152" t="s">
        <v>159</v>
      </c>
      <c r="AG1245" s="47" t="s">
        <v>160</v>
      </c>
      <c r="AH1245" s="154" t="s">
        <v>160</v>
      </c>
      <c r="AL1245" s="47" t="s">
        <v>188</v>
      </c>
      <c r="AM1245" s="47" t="s">
        <v>188</v>
      </c>
      <c r="AN1245" s="47" t="s">
        <v>212</v>
      </c>
      <c r="AO1245" s="47" t="s">
        <v>1022</v>
      </c>
      <c r="AP1245" s="47" t="s">
        <v>1022</v>
      </c>
      <c r="AQ1245" s="47" t="s">
        <v>212</v>
      </c>
      <c r="AR1245" s="47" t="s">
        <v>147</v>
      </c>
      <c r="AS1245" s="47">
        <v>4</v>
      </c>
      <c r="AT1245" s="47">
        <v>4</v>
      </c>
      <c r="AU1245" s="47" t="s">
        <v>379</v>
      </c>
      <c r="AW1245" s="47">
        <v>4048</v>
      </c>
      <c r="AX1245" s="47">
        <f>AW1245/85</f>
        <v>47.623529411764707</v>
      </c>
      <c r="BA1245" s="47">
        <v>8809</v>
      </c>
      <c r="BB1245" s="47">
        <v>9447</v>
      </c>
      <c r="BC1245" s="47" t="s">
        <v>1021</v>
      </c>
      <c r="BD1245" s="47">
        <v>9483</v>
      </c>
      <c r="BE1245" s="47">
        <v>10049</v>
      </c>
      <c r="DC1245" s="47">
        <v>27</v>
      </c>
      <c r="DD1245" s="47">
        <v>1.5</v>
      </c>
      <c r="DE1245" s="99" t="s">
        <v>1027</v>
      </c>
      <c r="FT1245" s="47">
        <v>59</v>
      </c>
    </row>
    <row r="1246" spans="1:176" s="47" customFormat="1" x14ac:dyDescent="0.25">
      <c r="A1246" s="47">
        <v>59</v>
      </c>
      <c r="B1246" s="47" t="s">
        <v>991</v>
      </c>
      <c r="C1246" s="47" t="s">
        <v>992</v>
      </c>
      <c r="D1246" s="47">
        <v>1997</v>
      </c>
      <c r="E1246" s="47">
        <v>1991</v>
      </c>
      <c r="F1246" s="47" t="s">
        <v>993</v>
      </c>
      <c r="G1246" s="47" t="s">
        <v>1020</v>
      </c>
      <c r="H1246" s="47">
        <v>38.92</v>
      </c>
      <c r="I1246" s="47">
        <v>-76.150000000000006</v>
      </c>
      <c r="J1246" s="47">
        <v>5</v>
      </c>
      <c r="M1246" s="47">
        <v>997</v>
      </c>
      <c r="P1246" s="82">
        <v>5</v>
      </c>
      <c r="Q1246" s="82" t="s">
        <v>994</v>
      </c>
      <c r="R1246" s="82"/>
      <c r="S1246" s="82" t="s">
        <v>1565</v>
      </c>
      <c r="T1246" s="82" t="s">
        <v>1565</v>
      </c>
      <c r="U1246" s="82" t="s">
        <v>1593</v>
      </c>
      <c r="V1246" s="82" t="s">
        <v>1908</v>
      </c>
      <c r="W1246" s="47">
        <v>1.5</v>
      </c>
      <c r="Z1246" s="47" t="s">
        <v>531</v>
      </c>
      <c r="AD1246" s="47" t="s">
        <v>1510</v>
      </c>
      <c r="AE1246" s="47" t="s">
        <v>159</v>
      </c>
      <c r="AF1246" s="152" t="s">
        <v>159</v>
      </c>
      <c r="AG1246" s="47" t="s">
        <v>160</v>
      </c>
      <c r="AH1246" s="154" t="s">
        <v>160</v>
      </c>
      <c r="AL1246" s="47" t="s">
        <v>188</v>
      </c>
      <c r="AM1246" s="47" t="s">
        <v>188</v>
      </c>
      <c r="AN1246" s="47" t="s">
        <v>212</v>
      </c>
      <c r="AO1246" s="47" t="s">
        <v>1022</v>
      </c>
      <c r="AP1246" s="47" t="s">
        <v>1022</v>
      </c>
      <c r="AQ1246" s="47" t="s">
        <v>212</v>
      </c>
      <c r="AR1246" s="47" t="s">
        <v>147</v>
      </c>
      <c r="AS1246" s="47">
        <v>4</v>
      </c>
      <c r="AT1246" s="47">
        <v>4</v>
      </c>
      <c r="AU1246" s="47" t="s">
        <v>379</v>
      </c>
      <c r="AW1246" s="47">
        <v>1793</v>
      </c>
      <c r="AX1246" s="47">
        <f>AW1246/25.9</f>
        <v>69.227799227799238</v>
      </c>
      <c r="BA1246" s="47">
        <v>7462</v>
      </c>
      <c r="BB1246" s="47">
        <v>8171</v>
      </c>
      <c r="BC1246" s="47" t="s">
        <v>1021</v>
      </c>
      <c r="BD1246" s="47">
        <v>9096</v>
      </c>
      <c r="BE1246" s="47">
        <v>9104</v>
      </c>
      <c r="DC1246" s="47">
        <v>25</v>
      </c>
      <c r="DD1246" s="47">
        <v>0.5</v>
      </c>
      <c r="DE1246" s="99" t="s">
        <v>1027</v>
      </c>
      <c r="FT1246" s="47">
        <v>59</v>
      </c>
    </row>
    <row r="1247" spans="1:176" s="47" customFormat="1" x14ac:dyDescent="0.25">
      <c r="A1247" s="47">
        <v>59</v>
      </c>
      <c r="B1247" s="47" t="s">
        <v>991</v>
      </c>
      <c r="C1247" s="47" t="s">
        <v>992</v>
      </c>
      <c r="D1247" s="47">
        <v>1997</v>
      </c>
      <c r="E1247" s="47">
        <v>1992</v>
      </c>
      <c r="F1247" s="47" t="s">
        <v>993</v>
      </c>
      <c r="G1247" s="47" t="s">
        <v>1020</v>
      </c>
      <c r="H1247" s="47">
        <v>38.92</v>
      </c>
      <c r="I1247" s="47">
        <v>-76.150000000000006</v>
      </c>
      <c r="J1247" s="47">
        <v>5</v>
      </c>
      <c r="M1247" s="47">
        <v>866</v>
      </c>
      <c r="P1247" s="82">
        <v>6</v>
      </c>
      <c r="Q1247" s="82" t="s">
        <v>994</v>
      </c>
      <c r="R1247" s="82"/>
      <c r="S1247" s="82" t="s">
        <v>1565</v>
      </c>
      <c r="T1247" s="82" t="s">
        <v>1565</v>
      </c>
      <c r="U1247" s="82" t="s">
        <v>1593</v>
      </c>
      <c r="V1247" s="82" t="s">
        <v>1908</v>
      </c>
      <c r="W1247" s="47">
        <v>1.5</v>
      </c>
      <c r="Z1247" s="47" t="s">
        <v>531</v>
      </c>
      <c r="AD1247" s="47" t="s">
        <v>1510</v>
      </c>
      <c r="AE1247" s="47" t="s">
        <v>159</v>
      </c>
      <c r="AF1247" s="152" t="s">
        <v>159</v>
      </c>
      <c r="AG1247" s="47" t="s">
        <v>160</v>
      </c>
      <c r="AH1247" s="154" t="s">
        <v>160</v>
      </c>
      <c r="AL1247" s="47" t="s">
        <v>188</v>
      </c>
      <c r="AM1247" s="47" t="s">
        <v>188</v>
      </c>
      <c r="AN1247" s="47" t="s">
        <v>212</v>
      </c>
      <c r="AO1247" s="47" t="s">
        <v>1022</v>
      </c>
      <c r="AP1247" s="47" t="s">
        <v>1022</v>
      </c>
      <c r="AQ1247" s="47" t="s">
        <v>212</v>
      </c>
      <c r="AR1247" s="47" t="s">
        <v>147</v>
      </c>
      <c r="AS1247" s="47">
        <v>4</v>
      </c>
      <c r="AT1247" s="47">
        <v>4</v>
      </c>
      <c r="AU1247" s="47" t="s">
        <v>379</v>
      </c>
      <c r="AW1247" s="47">
        <v>2053</v>
      </c>
      <c r="AX1247" s="47">
        <f>AW1247/40.5</f>
        <v>50.691358024691361</v>
      </c>
      <c r="BA1247" s="47">
        <v>8245</v>
      </c>
      <c r="BB1247" s="47">
        <v>7689</v>
      </c>
      <c r="BC1247" s="47" t="s">
        <v>1021</v>
      </c>
      <c r="BD1247" s="47">
        <v>10898</v>
      </c>
      <c r="BE1247" s="47">
        <v>9920</v>
      </c>
      <c r="DC1247" s="47">
        <v>12</v>
      </c>
      <c r="DD1247" s="47">
        <v>0.8</v>
      </c>
      <c r="DE1247" s="99" t="s">
        <v>1027</v>
      </c>
      <c r="FT1247" s="47">
        <v>59</v>
      </c>
    </row>
    <row r="1248" spans="1:176" s="47" customFormat="1" x14ac:dyDescent="0.25">
      <c r="A1248" s="47">
        <v>59</v>
      </c>
      <c r="B1248" s="47" t="s">
        <v>991</v>
      </c>
      <c r="C1248" s="47" t="s">
        <v>992</v>
      </c>
      <c r="D1248" s="47">
        <v>1997</v>
      </c>
      <c r="E1248" s="47">
        <v>1993</v>
      </c>
      <c r="F1248" s="47" t="s">
        <v>993</v>
      </c>
      <c r="G1248" s="47" t="s">
        <v>1020</v>
      </c>
      <c r="H1248" s="47">
        <v>38.92</v>
      </c>
      <c r="I1248" s="47">
        <v>-76.150000000000006</v>
      </c>
      <c r="J1248" s="47">
        <v>5</v>
      </c>
      <c r="M1248" s="47">
        <v>972</v>
      </c>
      <c r="P1248" s="82">
        <v>7</v>
      </c>
      <c r="Q1248" s="82" t="s">
        <v>994</v>
      </c>
      <c r="R1248" s="82"/>
      <c r="S1248" s="82" t="s">
        <v>1565</v>
      </c>
      <c r="T1248" s="82" t="s">
        <v>1565</v>
      </c>
      <c r="U1248" s="82" t="s">
        <v>1593</v>
      </c>
      <c r="V1248" s="82" t="s">
        <v>1908</v>
      </c>
      <c r="W1248" s="47">
        <v>1.5</v>
      </c>
      <c r="Z1248" s="47" t="s">
        <v>531</v>
      </c>
      <c r="AD1248" s="47" t="s">
        <v>1510</v>
      </c>
      <c r="AE1248" s="47" t="s">
        <v>159</v>
      </c>
      <c r="AF1248" s="152" t="s">
        <v>159</v>
      </c>
      <c r="AG1248" s="47" t="s">
        <v>160</v>
      </c>
      <c r="AH1248" s="154" t="s">
        <v>160</v>
      </c>
      <c r="AL1248" s="47" t="s">
        <v>188</v>
      </c>
      <c r="AM1248" s="47" t="s">
        <v>188</v>
      </c>
      <c r="AN1248" s="47" t="s">
        <v>212</v>
      </c>
      <c r="AO1248" s="47" t="s">
        <v>1022</v>
      </c>
      <c r="AP1248" s="47" t="s">
        <v>1022</v>
      </c>
      <c r="AQ1248" s="47" t="s">
        <v>212</v>
      </c>
      <c r="AR1248" s="47" t="s">
        <v>147</v>
      </c>
      <c r="AS1248" s="47">
        <v>4</v>
      </c>
      <c r="AT1248" s="47">
        <v>4</v>
      </c>
      <c r="AU1248" s="47" t="s">
        <v>379</v>
      </c>
      <c r="AW1248" s="47">
        <v>1873</v>
      </c>
      <c r="AX1248" s="47">
        <f>AW1248/37.3</f>
        <v>50.21447721179625</v>
      </c>
      <c r="BA1248" s="47">
        <v>7455</v>
      </c>
      <c r="BB1248" s="47">
        <v>8732</v>
      </c>
      <c r="BC1248" s="47" t="s">
        <v>1021</v>
      </c>
      <c r="BD1248" s="47">
        <v>7421</v>
      </c>
      <c r="BE1248" s="47">
        <v>8586</v>
      </c>
      <c r="DC1248" s="47">
        <v>9</v>
      </c>
      <c r="DD1248" s="47">
        <v>2.2999999999999998</v>
      </c>
      <c r="DE1248" s="99" t="s">
        <v>1027</v>
      </c>
      <c r="FT1248" s="47">
        <v>59</v>
      </c>
    </row>
    <row r="1249" spans="1:176" s="47" customFormat="1" x14ac:dyDescent="0.25">
      <c r="A1249" s="47">
        <v>59</v>
      </c>
      <c r="B1249" s="47" t="s">
        <v>991</v>
      </c>
      <c r="C1249" s="47" t="s">
        <v>992</v>
      </c>
      <c r="D1249" s="47">
        <v>1997</v>
      </c>
      <c r="E1249" s="47">
        <v>1994</v>
      </c>
      <c r="F1249" s="47" t="s">
        <v>993</v>
      </c>
      <c r="G1249" s="47" t="s">
        <v>1020</v>
      </c>
      <c r="H1249" s="47">
        <v>38.92</v>
      </c>
      <c r="I1249" s="47">
        <v>-76.150000000000006</v>
      </c>
      <c r="J1249" s="47">
        <v>5</v>
      </c>
      <c r="M1249" s="47">
        <v>1275</v>
      </c>
      <c r="P1249" s="82">
        <v>8</v>
      </c>
      <c r="Q1249" s="82" t="s">
        <v>994</v>
      </c>
      <c r="R1249" s="82"/>
      <c r="S1249" s="82" t="s">
        <v>1565</v>
      </c>
      <c r="T1249" s="82" t="s">
        <v>1565</v>
      </c>
      <c r="U1249" s="82" t="s">
        <v>1593</v>
      </c>
      <c r="V1249" s="82" t="s">
        <v>1908</v>
      </c>
      <c r="W1249" s="47">
        <v>1.5</v>
      </c>
      <c r="Z1249" s="47" t="s">
        <v>531</v>
      </c>
      <c r="AD1249" s="47" t="s">
        <v>1510</v>
      </c>
      <c r="AE1249" s="47" t="s">
        <v>159</v>
      </c>
      <c r="AF1249" s="152" t="s">
        <v>159</v>
      </c>
      <c r="AG1249" s="47" t="s">
        <v>160</v>
      </c>
      <c r="AH1249" s="154" t="s">
        <v>160</v>
      </c>
      <c r="AL1249" s="47" t="s">
        <v>188</v>
      </c>
      <c r="AM1249" s="47" t="s">
        <v>188</v>
      </c>
      <c r="AN1249" s="47" t="s">
        <v>212</v>
      </c>
      <c r="AO1249" s="47" t="s">
        <v>1022</v>
      </c>
      <c r="AP1249" s="47" t="s">
        <v>1022</v>
      </c>
      <c r="AQ1249" s="47" t="s">
        <v>212</v>
      </c>
      <c r="AR1249" s="47" t="s">
        <v>147</v>
      </c>
      <c r="AS1249" s="47">
        <v>4</v>
      </c>
      <c r="AT1249" s="47">
        <v>4</v>
      </c>
      <c r="AU1249" s="47" t="s">
        <v>379</v>
      </c>
      <c r="AW1249" s="47">
        <v>3645</v>
      </c>
      <c r="AX1249" s="47">
        <f>AW1249/59.2</f>
        <v>61.570945945945944</v>
      </c>
      <c r="BA1249" s="47">
        <v>9114</v>
      </c>
      <c r="BB1249" s="47">
        <v>9261</v>
      </c>
      <c r="BC1249" s="47" t="s">
        <v>1021</v>
      </c>
      <c r="BD1249" s="47">
        <v>10036</v>
      </c>
      <c r="BE1249" s="47">
        <v>10042</v>
      </c>
      <c r="DC1249" s="47">
        <v>11</v>
      </c>
      <c r="DD1249" s="47">
        <v>1.4</v>
      </c>
      <c r="DE1249" s="99" t="s">
        <v>1027</v>
      </c>
      <c r="FT1249" s="47">
        <v>59</v>
      </c>
    </row>
    <row r="1250" spans="1:176" s="47" customFormat="1" x14ac:dyDescent="0.25">
      <c r="A1250" s="47">
        <v>59</v>
      </c>
      <c r="B1250" s="47" t="s">
        <v>991</v>
      </c>
      <c r="C1250" s="47" t="s">
        <v>992</v>
      </c>
      <c r="D1250" s="47">
        <v>1997</v>
      </c>
      <c r="E1250" s="47">
        <v>1995</v>
      </c>
      <c r="F1250" s="47" t="s">
        <v>993</v>
      </c>
      <c r="G1250" s="47" t="s">
        <v>1020</v>
      </c>
      <c r="H1250" s="47">
        <v>38.92</v>
      </c>
      <c r="I1250" s="47">
        <v>-76.150000000000006</v>
      </c>
      <c r="J1250" s="47">
        <v>5</v>
      </c>
      <c r="M1250" s="47">
        <v>755</v>
      </c>
      <c r="P1250" s="82">
        <v>9</v>
      </c>
      <c r="Q1250" s="82" t="s">
        <v>994</v>
      </c>
      <c r="R1250" s="82"/>
      <c r="S1250" s="82" t="s">
        <v>1565</v>
      </c>
      <c r="T1250" s="82" t="s">
        <v>1565</v>
      </c>
      <c r="U1250" s="82" t="s">
        <v>1593</v>
      </c>
      <c r="V1250" s="82" t="s">
        <v>1908</v>
      </c>
      <c r="W1250" s="47">
        <v>1.5</v>
      </c>
      <c r="Z1250" s="47" t="s">
        <v>531</v>
      </c>
      <c r="AD1250" s="47" t="s">
        <v>1510</v>
      </c>
      <c r="AE1250" s="47" t="s">
        <v>159</v>
      </c>
      <c r="AF1250" s="152" t="s">
        <v>159</v>
      </c>
      <c r="AG1250" s="47" t="s">
        <v>160</v>
      </c>
      <c r="AH1250" s="154" t="s">
        <v>160</v>
      </c>
      <c r="AL1250" s="47" t="s">
        <v>188</v>
      </c>
      <c r="AM1250" s="47" t="s">
        <v>188</v>
      </c>
      <c r="AN1250" s="47" t="s">
        <v>212</v>
      </c>
      <c r="AO1250" s="47" t="s">
        <v>1022</v>
      </c>
      <c r="AP1250" s="47" t="s">
        <v>1022</v>
      </c>
      <c r="AQ1250" s="47" t="s">
        <v>212</v>
      </c>
      <c r="AR1250" s="47" t="s">
        <v>147</v>
      </c>
      <c r="AS1250" s="47">
        <v>4</v>
      </c>
      <c r="AT1250" s="47">
        <v>4</v>
      </c>
      <c r="AU1250" s="47" t="s">
        <v>379</v>
      </c>
      <c r="BA1250" s="47">
        <v>8474</v>
      </c>
      <c r="BB1250" s="47">
        <v>7822</v>
      </c>
      <c r="BC1250" s="47" t="s">
        <v>1021</v>
      </c>
      <c r="BD1250" s="47">
        <v>8978</v>
      </c>
      <c r="BE1250" s="47">
        <v>8372</v>
      </c>
      <c r="DC1250" s="47">
        <v>13</v>
      </c>
      <c r="DD1250" s="47">
        <v>0.9</v>
      </c>
      <c r="DE1250" s="99" t="s">
        <v>1027</v>
      </c>
      <c r="FT1250" s="47">
        <v>59</v>
      </c>
    </row>
    <row r="1251" spans="1:176" s="26" customFormat="1" x14ac:dyDescent="0.25">
      <c r="A1251" s="26">
        <v>59</v>
      </c>
      <c r="B1251" s="26" t="s">
        <v>991</v>
      </c>
      <c r="C1251" s="26" t="s">
        <v>992</v>
      </c>
      <c r="D1251" s="26">
        <v>1997</v>
      </c>
      <c r="E1251" s="26">
        <v>1991</v>
      </c>
      <c r="F1251" s="26" t="s">
        <v>993</v>
      </c>
      <c r="G1251" s="26" t="s">
        <v>1020</v>
      </c>
      <c r="H1251" s="26">
        <v>38.92</v>
      </c>
      <c r="I1251" s="26">
        <v>-76.150000000000006</v>
      </c>
      <c r="J1251" s="26">
        <v>5</v>
      </c>
      <c r="M1251" s="26">
        <v>997</v>
      </c>
      <c r="P1251" s="52">
        <v>5</v>
      </c>
      <c r="Q1251" s="52" t="s">
        <v>994</v>
      </c>
      <c r="R1251" s="52"/>
      <c r="S1251" s="52" t="s">
        <v>1565</v>
      </c>
      <c r="T1251" s="52" t="s">
        <v>1565</v>
      </c>
      <c r="U1251" s="52" t="s">
        <v>1593</v>
      </c>
      <c r="V1251" s="52" t="s">
        <v>1908</v>
      </c>
      <c r="W1251" s="26">
        <v>1.5</v>
      </c>
      <c r="Z1251" s="26" t="s">
        <v>531</v>
      </c>
      <c r="AD1251" s="26" t="s">
        <v>1510</v>
      </c>
      <c r="AE1251" s="26" t="s">
        <v>159</v>
      </c>
      <c r="AF1251" s="152" t="s">
        <v>159</v>
      </c>
      <c r="AG1251" s="26" t="s">
        <v>160</v>
      </c>
      <c r="AH1251" s="154" t="s">
        <v>160</v>
      </c>
      <c r="AL1251" s="26" t="s">
        <v>188</v>
      </c>
      <c r="AM1251" s="26" t="s">
        <v>188</v>
      </c>
      <c r="AN1251" s="26" t="s">
        <v>212</v>
      </c>
      <c r="AO1251" s="26" t="s">
        <v>1022</v>
      </c>
      <c r="AP1251" s="26" t="s">
        <v>1022</v>
      </c>
      <c r="AQ1251" s="26" t="s">
        <v>212</v>
      </c>
      <c r="AR1251" s="26" t="s">
        <v>147</v>
      </c>
      <c r="AS1251" s="26">
        <v>4</v>
      </c>
      <c r="AT1251" s="26">
        <v>4</v>
      </c>
      <c r="AU1251" s="26" t="s">
        <v>379</v>
      </c>
      <c r="AW1251" s="26">
        <v>1793</v>
      </c>
      <c r="AX1251" s="26">
        <v>69.227799227799238</v>
      </c>
      <c r="DC1251" s="26">
        <v>27.32</v>
      </c>
      <c r="DD1251" s="26">
        <v>1.46</v>
      </c>
      <c r="DE1251" s="26" t="s">
        <v>1027</v>
      </c>
      <c r="FT1251" s="26">
        <v>59</v>
      </c>
    </row>
    <row r="1252" spans="1:176" s="26" customFormat="1" x14ac:dyDescent="0.25">
      <c r="A1252" s="26">
        <v>59</v>
      </c>
      <c r="B1252" s="26" t="s">
        <v>991</v>
      </c>
      <c r="C1252" s="26" t="s">
        <v>992</v>
      </c>
      <c r="D1252" s="26">
        <v>1997</v>
      </c>
      <c r="E1252" s="26">
        <v>1991</v>
      </c>
      <c r="F1252" s="26" t="s">
        <v>993</v>
      </c>
      <c r="G1252" s="26" t="s">
        <v>1020</v>
      </c>
      <c r="H1252" s="26">
        <v>38.92</v>
      </c>
      <c r="I1252" s="26">
        <v>-76.150000000000006</v>
      </c>
      <c r="J1252" s="26">
        <v>5</v>
      </c>
      <c r="M1252" s="26">
        <v>997</v>
      </c>
      <c r="P1252" s="52">
        <v>5</v>
      </c>
      <c r="Q1252" s="52" t="s">
        <v>994</v>
      </c>
      <c r="R1252" s="52"/>
      <c r="S1252" s="52" t="s">
        <v>1565</v>
      </c>
      <c r="T1252" s="52" t="s">
        <v>1565</v>
      </c>
      <c r="U1252" s="52" t="s">
        <v>1593</v>
      </c>
      <c r="V1252" s="52" t="s">
        <v>1908</v>
      </c>
      <c r="W1252" s="26">
        <v>1.5</v>
      </c>
      <c r="Z1252" s="26" t="s">
        <v>531</v>
      </c>
      <c r="AD1252" s="26" t="s">
        <v>1510</v>
      </c>
      <c r="AE1252" s="26" t="s">
        <v>159</v>
      </c>
      <c r="AF1252" s="152" t="s">
        <v>159</v>
      </c>
      <c r="AG1252" s="26" t="s">
        <v>160</v>
      </c>
      <c r="AH1252" s="154" t="s">
        <v>160</v>
      </c>
      <c r="AL1252" s="26" t="s">
        <v>188</v>
      </c>
      <c r="AM1252" s="26" t="s">
        <v>188</v>
      </c>
      <c r="AN1252" s="26" t="s">
        <v>212</v>
      </c>
      <c r="AO1252" s="26" t="s">
        <v>1022</v>
      </c>
      <c r="AP1252" s="26" t="s">
        <v>1022</v>
      </c>
      <c r="AQ1252" s="26" t="s">
        <v>212</v>
      </c>
      <c r="AR1252" s="26" t="s">
        <v>147</v>
      </c>
      <c r="AS1252" s="26">
        <v>4</v>
      </c>
      <c r="AT1252" s="26">
        <v>4</v>
      </c>
      <c r="AU1252" s="26" t="s">
        <v>379</v>
      </c>
      <c r="AW1252" s="26">
        <v>1793</v>
      </c>
      <c r="AX1252" s="26">
        <v>69.227799227799238</v>
      </c>
      <c r="DC1252" s="26">
        <v>20.79</v>
      </c>
      <c r="DD1252" s="26">
        <v>0.73</v>
      </c>
      <c r="DE1252" s="26" t="s">
        <v>1027</v>
      </c>
      <c r="FT1252" s="26">
        <v>59</v>
      </c>
    </row>
    <row r="1253" spans="1:176" s="26" customFormat="1" x14ac:dyDescent="0.25">
      <c r="A1253" s="26">
        <v>59</v>
      </c>
      <c r="B1253" s="26" t="s">
        <v>991</v>
      </c>
      <c r="C1253" s="26" t="s">
        <v>992</v>
      </c>
      <c r="D1253" s="26">
        <v>1997</v>
      </c>
      <c r="E1253" s="26">
        <v>1991</v>
      </c>
      <c r="F1253" s="26" t="s">
        <v>993</v>
      </c>
      <c r="G1253" s="26" t="s">
        <v>1020</v>
      </c>
      <c r="H1253" s="26">
        <v>38.92</v>
      </c>
      <c r="I1253" s="26">
        <v>-76.150000000000006</v>
      </c>
      <c r="J1253" s="26">
        <v>5</v>
      </c>
      <c r="M1253" s="26">
        <v>997</v>
      </c>
      <c r="P1253" s="52">
        <v>5</v>
      </c>
      <c r="Q1253" s="52" t="s">
        <v>994</v>
      </c>
      <c r="R1253" s="52"/>
      <c r="S1253" s="52" t="s">
        <v>1565</v>
      </c>
      <c r="T1253" s="52" t="s">
        <v>1565</v>
      </c>
      <c r="U1253" s="52" t="s">
        <v>1593</v>
      </c>
      <c r="V1253" s="52" t="s">
        <v>1908</v>
      </c>
      <c r="W1253" s="26">
        <v>1.5</v>
      </c>
      <c r="Z1253" s="26" t="s">
        <v>531</v>
      </c>
      <c r="AD1253" s="26" t="s">
        <v>1510</v>
      </c>
      <c r="AE1253" s="26" t="s">
        <v>159</v>
      </c>
      <c r="AF1253" s="152" t="s">
        <v>159</v>
      </c>
      <c r="AG1253" s="26" t="s">
        <v>160</v>
      </c>
      <c r="AH1253" s="154" t="s">
        <v>160</v>
      </c>
      <c r="AL1253" s="26" t="s">
        <v>188</v>
      </c>
      <c r="AM1253" s="26" t="s">
        <v>188</v>
      </c>
      <c r="AN1253" s="26" t="s">
        <v>212</v>
      </c>
      <c r="AO1253" s="26" t="s">
        <v>1022</v>
      </c>
      <c r="AP1253" s="26" t="s">
        <v>1022</v>
      </c>
      <c r="AQ1253" s="26" t="s">
        <v>212</v>
      </c>
      <c r="AR1253" s="26" t="s">
        <v>147</v>
      </c>
      <c r="AS1253" s="26">
        <v>4</v>
      </c>
      <c r="AT1253" s="26">
        <v>4</v>
      </c>
      <c r="AU1253" s="26" t="s">
        <v>379</v>
      </c>
      <c r="AW1253" s="26">
        <v>1793</v>
      </c>
      <c r="AX1253" s="26">
        <v>69.227799227799238</v>
      </c>
      <c r="DC1253" s="26">
        <v>26.89</v>
      </c>
      <c r="DD1253" s="26">
        <v>0.2</v>
      </c>
      <c r="DE1253" s="26" t="s">
        <v>1027</v>
      </c>
      <c r="FT1253" s="26">
        <v>59</v>
      </c>
    </row>
    <row r="1254" spans="1:176" s="26" customFormat="1" x14ac:dyDescent="0.25">
      <c r="A1254" s="26">
        <v>59</v>
      </c>
      <c r="B1254" s="26" t="s">
        <v>991</v>
      </c>
      <c r="C1254" s="26" t="s">
        <v>992</v>
      </c>
      <c r="D1254" s="26">
        <v>1997</v>
      </c>
      <c r="E1254" s="26">
        <v>1991</v>
      </c>
      <c r="F1254" s="26" t="s">
        <v>993</v>
      </c>
      <c r="G1254" s="26" t="s">
        <v>1020</v>
      </c>
      <c r="H1254" s="26">
        <v>38.92</v>
      </c>
      <c r="I1254" s="26">
        <v>-76.150000000000006</v>
      </c>
      <c r="J1254" s="26">
        <v>5</v>
      </c>
      <c r="M1254" s="26">
        <v>997</v>
      </c>
      <c r="P1254" s="52">
        <v>5</v>
      </c>
      <c r="Q1254" s="52" t="s">
        <v>994</v>
      </c>
      <c r="R1254" s="52"/>
      <c r="S1254" s="52" t="s">
        <v>1565</v>
      </c>
      <c r="T1254" s="52" t="s">
        <v>1565</v>
      </c>
      <c r="U1254" s="52" t="s">
        <v>1593</v>
      </c>
      <c r="V1254" s="52" t="s">
        <v>1908</v>
      </c>
      <c r="W1254" s="26">
        <v>1.5</v>
      </c>
      <c r="Z1254" s="26" t="s">
        <v>531</v>
      </c>
      <c r="AD1254" s="26" t="s">
        <v>1510</v>
      </c>
      <c r="AE1254" s="26" t="s">
        <v>159</v>
      </c>
      <c r="AF1254" s="152" t="s">
        <v>159</v>
      </c>
      <c r="AG1254" s="26" t="s">
        <v>160</v>
      </c>
      <c r="AH1254" s="154" t="s">
        <v>160</v>
      </c>
      <c r="AL1254" s="26" t="s">
        <v>188</v>
      </c>
      <c r="AM1254" s="26" t="s">
        <v>188</v>
      </c>
      <c r="AN1254" s="26" t="s">
        <v>212</v>
      </c>
      <c r="AO1254" s="26" t="s">
        <v>1022</v>
      </c>
      <c r="AP1254" s="26" t="s">
        <v>1022</v>
      </c>
      <c r="AQ1254" s="26" t="s">
        <v>212</v>
      </c>
      <c r="AR1254" s="26" t="s">
        <v>147</v>
      </c>
      <c r="AS1254" s="26">
        <v>4</v>
      </c>
      <c r="AT1254" s="26">
        <v>4</v>
      </c>
      <c r="AU1254" s="26" t="s">
        <v>379</v>
      </c>
      <c r="AW1254" s="26">
        <v>1793</v>
      </c>
      <c r="AX1254" s="26">
        <v>69.227799227799238</v>
      </c>
      <c r="DC1254" s="26">
        <v>27.33</v>
      </c>
      <c r="DD1254" s="26">
        <v>1.7000000000000001E-2</v>
      </c>
      <c r="DE1254" s="26" t="s">
        <v>1027</v>
      </c>
      <c r="FT1254" s="26">
        <v>59</v>
      </c>
    </row>
    <row r="1255" spans="1:176" s="26" customFormat="1" x14ac:dyDescent="0.25">
      <c r="A1255" s="26">
        <v>59</v>
      </c>
      <c r="B1255" s="26" t="s">
        <v>991</v>
      </c>
      <c r="C1255" s="26" t="s">
        <v>992</v>
      </c>
      <c r="D1255" s="26">
        <v>1997</v>
      </c>
      <c r="E1255" s="26">
        <v>1991</v>
      </c>
      <c r="F1255" s="26" t="s">
        <v>993</v>
      </c>
      <c r="G1255" s="26" t="s">
        <v>1020</v>
      </c>
      <c r="H1255" s="26">
        <v>38.92</v>
      </c>
      <c r="I1255" s="26">
        <v>-76.150000000000006</v>
      </c>
      <c r="J1255" s="26">
        <v>5</v>
      </c>
      <c r="M1255" s="26">
        <v>997</v>
      </c>
      <c r="P1255" s="52">
        <v>5</v>
      </c>
      <c r="Q1255" s="52" t="s">
        <v>994</v>
      </c>
      <c r="R1255" s="52"/>
      <c r="S1255" s="52" t="s">
        <v>1565</v>
      </c>
      <c r="T1255" s="52" t="s">
        <v>1565</v>
      </c>
      <c r="U1255" s="52" t="s">
        <v>1593</v>
      </c>
      <c r="V1255" s="52" t="s">
        <v>1908</v>
      </c>
      <c r="W1255" s="26">
        <v>1.5</v>
      </c>
      <c r="Z1255" s="26" t="s">
        <v>531</v>
      </c>
      <c r="AD1255" s="26" t="s">
        <v>1510</v>
      </c>
      <c r="AE1255" s="26" t="s">
        <v>159</v>
      </c>
      <c r="AF1255" s="152" t="s">
        <v>159</v>
      </c>
      <c r="AG1255" s="26" t="s">
        <v>160</v>
      </c>
      <c r="AH1255" s="154" t="s">
        <v>160</v>
      </c>
      <c r="AL1255" s="26" t="s">
        <v>188</v>
      </c>
      <c r="AM1255" s="26" t="s">
        <v>188</v>
      </c>
      <c r="AN1255" s="26" t="s">
        <v>212</v>
      </c>
      <c r="AO1255" s="26" t="s">
        <v>1022</v>
      </c>
      <c r="AP1255" s="26" t="s">
        <v>1022</v>
      </c>
      <c r="AQ1255" s="26" t="s">
        <v>212</v>
      </c>
      <c r="AR1255" s="26" t="s">
        <v>147</v>
      </c>
      <c r="AS1255" s="26">
        <v>4</v>
      </c>
      <c r="AT1255" s="26">
        <v>4</v>
      </c>
      <c r="AU1255" s="26" t="s">
        <v>379</v>
      </c>
      <c r="AW1255" s="26">
        <v>1793</v>
      </c>
      <c r="AX1255" s="26">
        <v>69.227799227799238</v>
      </c>
      <c r="DC1255" s="26">
        <v>25.1</v>
      </c>
      <c r="DD1255" s="26">
        <v>1.7000000000000001E-2</v>
      </c>
      <c r="DE1255" s="26" t="s">
        <v>1027</v>
      </c>
      <c r="FT1255" s="26">
        <v>59</v>
      </c>
    </row>
    <row r="1256" spans="1:176" s="26" customFormat="1" x14ac:dyDescent="0.25">
      <c r="A1256" s="26">
        <v>59</v>
      </c>
      <c r="B1256" s="26" t="s">
        <v>991</v>
      </c>
      <c r="C1256" s="26" t="s">
        <v>992</v>
      </c>
      <c r="D1256" s="26">
        <v>1997</v>
      </c>
      <c r="E1256" s="26">
        <v>1991</v>
      </c>
      <c r="F1256" s="26" t="s">
        <v>993</v>
      </c>
      <c r="G1256" s="26" t="s">
        <v>1020</v>
      </c>
      <c r="H1256" s="26">
        <v>38.92</v>
      </c>
      <c r="I1256" s="26">
        <v>-76.150000000000006</v>
      </c>
      <c r="J1256" s="26">
        <v>5</v>
      </c>
      <c r="M1256" s="26">
        <v>997</v>
      </c>
      <c r="P1256" s="52">
        <v>5</v>
      </c>
      <c r="Q1256" s="52" t="s">
        <v>994</v>
      </c>
      <c r="R1256" s="52"/>
      <c r="S1256" s="52" t="s">
        <v>1565</v>
      </c>
      <c r="T1256" s="52" t="s">
        <v>1565</v>
      </c>
      <c r="U1256" s="52" t="s">
        <v>1593</v>
      </c>
      <c r="V1256" s="52" t="s">
        <v>1908</v>
      </c>
      <c r="W1256" s="26">
        <v>1.5</v>
      </c>
      <c r="Z1256" s="26" t="s">
        <v>531</v>
      </c>
      <c r="AD1256" s="26" t="s">
        <v>1510</v>
      </c>
      <c r="AE1256" s="26" t="s">
        <v>159</v>
      </c>
      <c r="AF1256" s="152" t="s">
        <v>159</v>
      </c>
      <c r="AG1256" s="26" t="s">
        <v>160</v>
      </c>
      <c r="AH1256" s="154" t="s">
        <v>160</v>
      </c>
      <c r="AL1256" s="26" t="s">
        <v>188</v>
      </c>
      <c r="AM1256" s="26" t="s">
        <v>188</v>
      </c>
      <c r="AN1256" s="26" t="s">
        <v>212</v>
      </c>
      <c r="AO1256" s="26" t="s">
        <v>1022</v>
      </c>
      <c r="AP1256" s="26" t="s">
        <v>1022</v>
      </c>
      <c r="AQ1256" s="26" t="s">
        <v>212</v>
      </c>
      <c r="AR1256" s="26" t="s">
        <v>147</v>
      </c>
      <c r="AS1256" s="26">
        <v>4</v>
      </c>
      <c r="AT1256" s="26">
        <v>4</v>
      </c>
      <c r="AU1256" s="26" t="s">
        <v>379</v>
      </c>
      <c r="AW1256" s="26">
        <v>1793</v>
      </c>
      <c r="AX1256" s="26">
        <v>69.227799227799238</v>
      </c>
      <c r="DC1256" s="26">
        <v>25.78</v>
      </c>
      <c r="DD1256" s="26">
        <v>1.4999999999999999E-2</v>
      </c>
      <c r="DE1256" s="26" t="s">
        <v>1027</v>
      </c>
      <c r="FT1256" s="26">
        <v>59</v>
      </c>
    </row>
    <row r="1257" spans="1:176" s="26" customFormat="1" x14ac:dyDescent="0.25">
      <c r="A1257" s="26">
        <v>59</v>
      </c>
      <c r="B1257" s="26" t="s">
        <v>991</v>
      </c>
      <c r="C1257" s="26" t="s">
        <v>992</v>
      </c>
      <c r="D1257" s="26">
        <v>1997</v>
      </c>
      <c r="E1257" s="26">
        <v>1991</v>
      </c>
      <c r="F1257" s="26" t="s">
        <v>993</v>
      </c>
      <c r="G1257" s="26" t="s">
        <v>1020</v>
      </c>
      <c r="H1257" s="26">
        <v>38.92</v>
      </c>
      <c r="I1257" s="26">
        <v>-76.150000000000006</v>
      </c>
      <c r="J1257" s="26">
        <v>5</v>
      </c>
      <c r="M1257" s="26">
        <v>997</v>
      </c>
      <c r="P1257" s="52">
        <v>5</v>
      </c>
      <c r="Q1257" s="52" t="s">
        <v>994</v>
      </c>
      <c r="R1257" s="52"/>
      <c r="S1257" s="52" t="s">
        <v>1565</v>
      </c>
      <c r="T1257" s="52" t="s">
        <v>1565</v>
      </c>
      <c r="U1257" s="52" t="s">
        <v>1593</v>
      </c>
      <c r="V1257" s="52" t="s">
        <v>1908</v>
      </c>
      <c r="W1257" s="26">
        <v>1.5</v>
      </c>
      <c r="Z1257" s="26" t="s">
        <v>531</v>
      </c>
      <c r="AD1257" s="26" t="s">
        <v>1510</v>
      </c>
      <c r="AE1257" s="26" t="s">
        <v>159</v>
      </c>
      <c r="AF1257" s="152" t="s">
        <v>159</v>
      </c>
      <c r="AG1257" s="26" t="s">
        <v>160</v>
      </c>
      <c r="AH1257" s="154" t="s">
        <v>160</v>
      </c>
      <c r="AL1257" s="26" t="s">
        <v>188</v>
      </c>
      <c r="AM1257" s="26" t="s">
        <v>188</v>
      </c>
      <c r="AN1257" s="26" t="s">
        <v>212</v>
      </c>
      <c r="AO1257" s="26" t="s">
        <v>1022</v>
      </c>
      <c r="AP1257" s="26" t="s">
        <v>1022</v>
      </c>
      <c r="AQ1257" s="26" t="s">
        <v>212</v>
      </c>
      <c r="AR1257" s="26" t="s">
        <v>147</v>
      </c>
      <c r="AS1257" s="26">
        <v>4</v>
      </c>
      <c r="AT1257" s="26">
        <v>4</v>
      </c>
      <c r="AU1257" s="26" t="s">
        <v>379</v>
      </c>
      <c r="AW1257" s="26">
        <v>1793</v>
      </c>
      <c r="AX1257" s="26">
        <v>69.227799227799238</v>
      </c>
      <c r="DC1257" s="26">
        <v>26.7</v>
      </c>
      <c r="DD1257" s="26">
        <v>0.02</v>
      </c>
      <c r="DE1257" s="26" t="s">
        <v>1027</v>
      </c>
      <c r="FT1257" s="26">
        <v>59</v>
      </c>
    </row>
    <row r="1258" spans="1:176" s="26" customFormat="1" x14ac:dyDescent="0.25">
      <c r="A1258" s="26">
        <v>59</v>
      </c>
      <c r="B1258" s="26" t="s">
        <v>991</v>
      </c>
      <c r="C1258" s="26" t="s">
        <v>992</v>
      </c>
      <c r="D1258" s="26">
        <v>1997</v>
      </c>
      <c r="E1258" s="26">
        <v>1991</v>
      </c>
      <c r="F1258" s="26" t="s">
        <v>993</v>
      </c>
      <c r="G1258" s="26" t="s">
        <v>1020</v>
      </c>
      <c r="H1258" s="26">
        <v>38.92</v>
      </c>
      <c r="I1258" s="26">
        <v>-76.150000000000006</v>
      </c>
      <c r="J1258" s="26">
        <v>5</v>
      </c>
      <c r="M1258" s="26">
        <v>997</v>
      </c>
      <c r="P1258" s="52">
        <v>5</v>
      </c>
      <c r="Q1258" s="52" t="s">
        <v>994</v>
      </c>
      <c r="R1258" s="52"/>
      <c r="S1258" s="52" t="s">
        <v>1565</v>
      </c>
      <c r="T1258" s="52" t="s">
        <v>1565</v>
      </c>
      <c r="U1258" s="52" t="s">
        <v>1593</v>
      </c>
      <c r="V1258" s="52" t="s">
        <v>1908</v>
      </c>
      <c r="W1258" s="26">
        <v>1.5</v>
      </c>
      <c r="Z1258" s="26" t="s">
        <v>531</v>
      </c>
      <c r="AD1258" s="26" t="s">
        <v>1510</v>
      </c>
      <c r="AE1258" s="26" t="s">
        <v>159</v>
      </c>
      <c r="AF1258" s="152" t="s">
        <v>159</v>
      </c>
      <c r="AG1258" s="26" t="s">
        <v>160</v>
      </c>
      <c r="AH1258" s="154" t="s">
        <v>160</v>
      </c>
      <c r="AL1258" s="26" t="s">
        <v>188</v>
      </c>
      <c r="AM1258" s="26" t="s">
        <v>188</v>
      </c>
      <c r="AN1258" s="26" t="s">
        <v>212</v>
      </c>
      <c r="AO1258" s="26" t="s">
        <v>1022</v>
      </c>
      <c r="AP1258" s="26" t="s">
        <v>1022</v>
      </c>
      <c r="AQ1258" s="26" t="s">
        <v>212</v>
      </c>
      <c r="AR1258" s="26" t="s">
        <v>147</v>
      </c>
      <c r="AS1258" s="26">
        <v>4</v>
      </c>
      <c r="AT1258" s="26">
        <v>4</v>
      </c>
      <c r="AU1258" s="26" t="s">
        <v>379</v>
      </c>
      <c r="AW1258" s="26">
        <v>1793</v>
      </c>
      <c r="AX1258" s="26">
        <v>69.227799227799238</v>
      </c>
      <c r="DC1258" s="26">
        <v>20.8</v>
      </c>
      <c r="DD1258" s="26">
        <v>1.33</v>
      </c>
      <c r="DE1258" s="26" t="s">
        <v>1027</v>
      </c>
      <c r="FT1258" s="26">
        <v>59</v>
      </c>
    </row>
    <row r="1259" spans="1:176" s="99" customFormat="1" x14ac:dyDescent="0.25">
      <c r="A1259" s="99">
        <v>59</v>
      </c>
      <c r="B1259" s="99" t="s">
        <v>991</v>
      </c>
      <c r="C1259" s="99" t="s">
        <v>992</v>
      </c>
      <c r="D1259" s="99">
        <v>1997</v>
      </c>
      <c r="E1259" s="99">
        <v>1992</v>
      </c>
      <c r="F1259" s="99" t="s">
        <v>993</v>
      </c>
      <c r="G1259" s="99" t="s">
        <v>1020</v>
      </c>
      <c r="H1259" s="99">
        <v>38.92</v>
      </c>
      <c r="I1259" s="99">
        <v>-76.150000000000006</v>
      </c>
      <c r="J1259" s="99">
        <v>5</v>
      </c>
      <c r="M1259" s="99">
        <v>866</v>
      </c>
      <c r="P1259" s="100">
        <v>6</v>
      </c>
      <c r="Q1259" s="100" t="s">
        <v>994</v>
      </c>
      <c r="R1259" s="100"/>
      <c r="S1259" s="100" t="s">
        <v>1565</v>
      </c>
      <c r="T1259" s="100" t="s">
        <v>1565</v>
      </c>
      <c r="U1259" s="100" t="s">
        <v>1593</v>
      </c>
      <c r="V1259" s="100" t="s">
        <v>1908</v>
      </c>
      <c r="W1259" s="99">
        <v>1.5</v>
      </c>
      <c r="Z1259" s="99" t="s">
        <v>531</v>
      </c>
      <c r="AD1259" s="99" t="s">
        <v>1510</v>
      </c>
      <c r="AE1259" s="99" t="s">
        <v>159</v>
      </c>
      <c r="AF1259" s="152" t="s">
        <v>159</v>
      </c>
      <c r="AG1259" s="99" t="s">
        <v>160</v>
      </c>
      <c r="AH1259" s="154" t="s">
        <v>160</v>
      </c>
      <c r="AL1259" s="99" t="s">
        <v>188</v>
      </c>
      <c r="AM1259" s="99" t="s">
        <v>188</v>
      </c>
      <c r="AN1259" s="99" t="s">
        <v>212</v>
      </c>
      <c r="AO1259" s="99" t="s">
        <v>1022</v>
      </c>
      <c r="AP1259" s="99" t="s">
        <v>1022</v>
      </c>
      <c r="AQ1259" s="99" t="s">
        <v>212</v>
      </c>
      <c r="AR1259" s="99" t="s">
        <v>147</v>
      </c>
      <c r="AS1259" s="99">
        <v>4</v>
      </c>
      <c r="AT1259" s="99">
        <v>4</v>
      </c>
      <c r="AU1259" s="99" t="s">
        <v>379</v>
      </c>
      <c r="AW1259" s="99">
        <v>2053</v>
      </c>
      <c r="AX1259" s="99">
        <v>50.691358024691361</v>
      </c>
      <c r="DC1259" s="99">
        <v>5.91</v>
      </c>
      <c r="DD1259" s="99">
        <v>3.68</v>
      </c>
      <c r="DE1259" s="99" t="s">
        <v>1027</v>
      </c>
      <c r="FT1259" s="99">
        <v>59</v>
      </c>
    </row>
    <row r="1260" spans="1:176" s="99" customFormat="1" x14ac:dyDescent="0.25">
      <c r="A1260" s="99">
        <v>59</v>
      </c>
      <c r="B1260" s="99" t="s">
        <v>991</v>
      </c>
      <c r="C1260" s="99" t="s">
        <v>992</v>
      </c>
      <c r="D1260" s="99">
        <v>1997</v>
      </c>
      <c r="E1260" s="99">
        <v>1992</v>
      </c>
      <c r="F1260" s="99" t="s">
        <v>993</v>
      </c>
      <c r="G1260" s="99" t="s">
        <v>1020</v>
      </c>
      <c r="H1260" s="99">
        <v>38.92</v>
      </c>
      <c r="I1260" s="99">
        <v>-76.150000000000006</v>
      </c>
      <c r="J1260" s="99">
        <v>5</v>
      </c>
      <c r="M1260" s="99">
        <v>866</v>
      </c>
      <c r="P1260" s="100">
        <v>6</v>
      </c>
      <c r="Q1260" s="100" t="s">
        <v>994</v>
      </c>
      <c r="R1260" s="100"/>
      <c r="S1260" s="100" t="s">
        <v>1565</v>
      </c>
      <c r="T1260" s="100" t="s">
        <v>1565</v>
      </c>
      <c r="U1260" s="100" t="s">
        <v>1593</v>
      </c>
      <c r="V1260" s="100" t="s">
        <v>1908</v>
      </c>
      <c r="W1260" s="99">
        <v>1.5</v>
      </c>
      <c r="Z1260" s="99" t="s">
        <v>531</v>
      </c>
      <c r="AD1260" s="99" t="s">
        <v>1510</v>
      </c>
      <c r="AE1260" s="99" t="s">
        <v>159</v>
      </c>
      <c r="AF1260" s="152" t="s">
        <v>159</v>
      </c>
      <c r="AG1260" s="99" t="s">
        <v>160</v>
      </c>
      <c r="AH1260" s="154" t="s">
        <v>160</v>
      </c>
      <c r="AL1260" s="99" t="s">
        <v>188</v>
      </c>
      <c r="AM1260" s="99" t="s">
        <v>188</v>
      </c>
      <c r="AN1260" s="99" t="s">
        <v>212</v>
      </c>
      <c r="AO1260" s="99" t="s">
        <v>1022</v>
      </c>
      <c r="AP1260" s="99" t="s">
        <v>1022</v>
      </c>
      <c r="AQ1260" s="99" t="s">
        <v>212</v>
      </c>
      <c r="AR1260" s="99" t="s">
        <v>147</v>
      </c>
      <c r="AS1260" s="99">
        <v>4</v>
      </c>
      <c r="AT1260" s="99">
        <v>4</v>
      </c>
      <c r="AU1260" s="99" t="s">
        <v>379</v>
      </c>
      <c r="AW1260" s="99">
        <v>2053</v>
      </c>
      <c r="AX1260" s="99">
        <v>50.691358024691361</v>
      </c>
      <c r="DC1260" s="99">
        <v>16.62</v>
      </c>
      <c r="DD1260" s="99">
        <v>0.35</v>
      </c>
      <c r="DE1260" s="99" t="s">
        <v>1027</v>
      </c>
      <c r="FT1260" s="99">
        <v>59</v>
      </c>
    </row>
    <row r="1261" spans="1:176" s="99" customFormat="1" x14ac:dyDescent="0.25">
      <c r="A1261" s="99">
        <v>59</v>
      </c>
      <c r="B1261" s="99" t="s">
        <v>991</v>
      </c>
      <c r="C1261" s="99" t="s">
        <v>992</v>
      </c>
      <c r="D1261" s="99">
        <v>1997</v>
      </c>
      <c r="E1261" s="99">
        <v>1992</v>
      </c>
      <c r="F1261" s="99" t="s">
        <v>993</v>
      </c>
      <c r="G1261" s="99" t="s">
        <v>1020</v>
      </c>
      <c r="H1261" s="99">
        <v>38.92</v>
      </c>
      <c r="I1261" s="99">
        <v>-76.150000000000006</v>
      </c>
      <c r="J1261" s="99">
        <v>5</v>
      </c>
      <c r="M1261" s="99">
        <v>866</v>
      </c>
      <c r="P1261" s="100">
        <v>6</v>
      </c>
      <c r="Q1261" s="100" t="s">
        <v>994</v>
      </c>
      <c r="R1261" s="100"/>
      <c r="S1261" s="100" t="s">
        <v>1565</v>
      </c>
      <c r="T1261" s="100" t="s">
        <v>1565</v>
      </c>
      <c r="U1261" s="100" t="s">
        <v>1593</v>
      </c>
      <c r="V1261" s="100" t="s">
        <v>1908</v>
      </c>
      <c r="W1261" s="99">
        <v>1.5</v>
      </c>
      <c r="Z1261" s="99" t="s">
        <v>531</v>
      </c>
      <c r="AD1261" s="99" t="s">
        <v>1510</v>
      </c>
      <c r="AE1261" s="99" t="s">
        <v>159</v>
      </c>
      <c r="AF1261" s="152" t="s">
        <v>159</v>
      </c>
      <c r="AG1261" s="99" t="s">
        <v>160</v>
      </c>
      <c r="AH1261" s="154" t="s">
        <v>160</v>
      </c>
      <c r="AL1261" s="99" t="s">
        <v>188</v>
      </c>
      <c r="AM1261" s="99" t="s">
        <v>188</v>
      </c>
      <c r="AN1261" s="99" t="s">
        <v>212</v>
      </c>
      <c r="AO1261" s="99" t="s">
        <v>1022</v>
      </c>
      <c r="AP1261" s="99" t="s">
        <v>1022</v>
      </c>
      <c r="AQ1261" s="99" t="s">
        <v>212</v>
      </c>
      <c r="AR1261" s="99" t="s">
        <v>147</v>
      </c>
      <c r="AS1261" s="99">
        <v>4</v>
      </c>
      <c r="AT1261" s="99">
        <v>4</v>
      </c>
      <c r="AU1261" s="99" t="s">
        <v>379</v>
      </c>
      <c r="AW1261" s="99">
        <v>2053</v>
      </c>
      <c r="AX1261" s="99">
        <v>50.691358024691361</v>
      </c>
      <c r="DC1261" s="99">
        <v>15.7</v>
      </c>
      <c r="DD1261" s="99">
        <v>0.1</v>
      </c>
      <c r="DE1261" s="99" t="s">
        <v>1027</v>
      </c>
      <c r="FT1261" s="99">
        <v>59</v>
      </c>
    </row>
    <row r="1262" spans="1:176" s="99" customFormat="1" x14ac:dyDescent="0.25">
      <c r="A1262" s="99">
        <v>59</v>
      </c>
      <c r="B1262" s="99" t="s">
        <v>991</v>
      </c>
      <c r="C1262" s="99" t="s">
        <v>992</v>
      </c>
      <c r="D1262" s="99">
        <v>1997</v>
      </c>
      <c r="E1262" s="99">
        <v>1992</v>
      </c>
      <c r="F1262" s="99" t="s">
        <v>993</v>
      </c>
      <c r="G1262" s="99" t="s">
        <v>1020</v>
      </c>
      <c r="H1262" s="99">
        <v>38.92</v>
      </c>
      <c r="I1262" s="99">
        <v>-76.150000000000006</v>
      </c>
      <c r="J1262" s="99">
        <v>5</v>
      </c>
      <c r="M1262" s="99">
        <v>866</v>
      </c>
      <c r="P1262" s="100">
        <v>6</v>
      </c>
      <c r="Q1262" s="100" t="s">
        <v>994</v>
      </c>
      <c r="R1262" s="100"/>
      <c r="S1262" s="100" t="s">
        <v>1565</v>
      </c>
      <c r="T1262" s="100" t="s">
        <v>1565</v>
      </c>
      <c r="U1262" s="100" t="s">
        <v>1593</v>
      </c>
      <c r="V1262" s="100" t="s">
        <v>1908</v>
      </c>
      <c r="W1262" s="99">
        <v>1.5</v>
      </c>
      <c r="Z1262" s="99" t="s">
        <v>531</v>
      </c>
      <c r="AD1262" s="99" t="s">
        <v>1510</v>
      </c>
      <c r="AE1262" s="99" t="s">
        <v>159</v>
      </c>
      <c r="AF1262" s="152" t="s">
        <v>159</v>
      </c>
      <c r="AG1262" s="99" t="s">
        <v>160</v>
      </c>
      <c r="AH1262" s="154" t="s">
        <v>160</v>
      </c>
      <c r="AL1262" s="99" t="s">
        <v>188</v>
      </c>
      <c r="AM1262" s="99" t="s">
        <v>188</v>
      </c>
      <c r="AN1262" s="99" t="s">
        <v>212</v>
      </c>
      <c r="AO1262" s="99" t="s">
        <v>1022</v>
      </c>
      <c r="AP1262" s="99" t="s">
        <v>1022</v>
      </c>
      <c r="AQ1262" s="99" t="s">
        <v>212</v>
      </c>
      <c r="AR1262" s="99" t="s">
        <v>147</v>
      </c>
      <c r="AS1262" s="99">
        <v>4</v>
      </c>
      <c r="AT1262" s="99">
        <v>4</v>
      </c>
      <c r="AU1262" s="99" t="s">
        <v>379</v>
      </c>
      <c r="AW1262" s="99">
        <v>2053</v>
      </c>
      <c r="AX1262" s="99">
        <v>50.691358024691361</v>
      </c>
      <c r="DC1262" s="99">
        <v>20.350000000000001</v>
      </c>
      <c r="DD1262" s="99">
        <v>0.3</v>
      </c>
      <c r="DE1262" s="99" t="s">
        <v>1027</v>
      </c>
      <c r="FT1262" s="99">
        <v>59</v>
      </c>
    </row>
    <row r="1263" spans="1:176" s="99" customFormat="1" x14ac:dyDescent="0.25">
      <c r="A1263" s="99">
        <v>59</v>
      </c>
      <c r="B1263" s="99" t="s">
        <v>991</v>
      </c>
      <c r="C1263" s="99" t="s">
        <v>992</v>
      </c>
      <c r="D1263" s="99">
        <v>1997</v>
      </c>
      <c r="E1263" s="99">
        <v>1992</v>
      </c>
      <c r="F1263" s="99" t="s">
        <v>993</v>
      </c>
      <c r="G1263" s="99" t="s">
        <v>1020</v>
      </c>
      <c r="H1263" s="99">
        <v>38.92</v>
      </c>
      <c r="I1263" s="99">
        <v>-76.150000000000006</v>
      </c>
      <c r="J1263" s="99">
        <v>5</v>
      </c>
      <c r="M1263" s="99">
        <v>866</v>
      </c>
      <c r="P1263" s="100">
        <v>6</v>
      </c>
      <c r="Q1263" s="100" t="s">
        <v>994</v>
      </c>
      <c r="R1263" s="100"/>
      <c r="S1263" s="100" t="s">
        <v>1565</v>
      </c>
      <c r="T1263" s="100" t="s">
        <v>1565</v>
      </c>
      <c r="U1263" s="100" t="s">
        <v>1593</v>
      </c>
      <c r="V1263" s="100" t="s">
        <v>1908</v>
      </c>
      <c r="W1263" s="99">
        <v>1.5</v>
      </c>
      <c r="Z1263" s="99" t="s">
        <v>531</v>
      </c>
      <c r="AD1263" s="99" t="s">
        <v>1510</v>
      </c>
      <c r="AE1263" s="99" t="s">
        <v>159</v>
      </c>
      <c r="AF1263" s="152" t="s">
        <v>159</v>
      </c>
      <c r="AG1263" s="99" t="s">
        <v>160</v>
      </c>
      <c r="AH1263" s="154" t="s">
        <v>160</v>
      </c>
      <c r="AL1263" s="99" t="s">
        <v>188</v>
      </c>
      <c r="AM1263" s="99" t="s">
        <v>188</v>
      </c>
      <c r="AN1263" s="99" t="s">
        <v>212</v>
      </c>
      <c r="AO1263" s="99" t="s">
        <v>1022</v>
      </c>
      <c r="AP1263" s="99" t="s">
        <v>1022</v>
      </c>
      <c r="AQ1263" s="99" t="s">
        <v>212</v>
      </c>
      <c r="AR1263" s="99" t="s">
        <v>147</v>
      </c>
      <c r="AS1263" s="99">
        <v>4</v>
      </c>
      <c r="AT1263" s="99">
        <v>4</v>
      </c>
      <c r="AU1263" s="99" t="s">
        <v>379</v>
      </c>
      <c r="AW1263" s="99">
        <v>2053</v>
      </c>
      <c r="AX1263" s="99">
        <v>50.691358024691361</v>
      </c>
      <c r="DC1263" s="99">
        <v>14.3</v>
      </c>
      <c r="DD1263" s="99">
        <v>0.16</v>
      </c>
      <c r="DE1263" s="99" t="s">
        <v>1027</v>
      </c>
      <c r="FT1263" s="99">
        <v>59</v>
      </c>
    </row>
    <row r="1264" spans="1:176" s="99" customFormat="1" x14ac:dyDescent="0.25">
      <c r="A1264" s="99">
        <v>59</v>
      </c>
      <c r="B1264" s="99" t="s">
        <v>991</v>
      </c>
      <c r="C1264" s="99" t="s">
        <v>992</v>
      </c>
      <c r="D1264" s="99">
        <v>1997</v>
      </c>
      <c r="E1264" s="99">
        <v>1992</v>
      </c>
      <c r="F1264" s="99" t="s">
        <v>993</v>
      </c>
      <c r="G1264" s="99" t="s">
        <v>1020</v>
      </c>
      <c r="H1264" s="99">
        <v>38.92</v>
      </c>
      <c r="I1264" s="99">
        <v>-76.150000000000006</v>
      </c>
      <c r="J1264" s="99">
        <v>5</v>
      </c>
      <c r="M1264" s="99">
        <v>866</v>
      </c>
      <c r="P1264" s="100">
        <v>6</v>
      </c>
      <c r="Q1264" s="100" t="s">
        <v>994</v>
      </c>
      <c r="R1264" s="100"/>
      <c r="S1264" s="100" t="s">
        <v>1565</v>
      </c>
      <c r="T1264" s="100" t="s">
        <v>1565</v>
      </c>
      <c r="U1264" s="100" t="s">
        <v>1593</v>
      </c>
      <c r="V1264" s="100" t="s">
        <v>1908</v>
      </c>
      <c r="W1264" s="99">
        <v>1.5</v>
      </c>
      <c r="Z1264" s="99" t="s">
        <v>531</v>
      </c>
      <c r="AD1264" s="99" t="s">
        <v>1510</v>
      </c>
      <c r="AE1264" s="99" t="s">
        <v>159</v>
      </c>
      <c r="AF1264" s="152" t="s">
        <v>159</v>
      </c>
      <c r="AG1264" s="99" t="s">
        <v>160</v>
      </c>
      <c r="AH1264" s="154" t="s">
        <v>160</v>
      </c>
      <c r="AL1264" s="99" t="s">
        <v>188</v>
      </c>
      <c r="AM1264" s="99" t="s">
        <v>188</v>
      </c>
      <c r="AN1264" s="99" t="s">
        <v>212</v>
      </c>
      <c r="AO1264" s="99" t="s">
        <v>1022</v>
      </c>
      <c r="AP1264" s="99" t="s">
        <v>1022</v>
      </c>
      <c r="AQ1264" s="99" t="s">
        <v>212</v>
      </c>
      <c r="AR1264" s="99" t="s">
        <v>147</v>
      </c>
      <c r="AS1264" s="99">
        <v>4</v>
      </c>
      <c r="AT1264" s="99">
        <v>4</v>
      </c>
      <c r="AU1264" s="99" t="s">
        <v>379</v>
      </c>
      <c r="AW1264" s="99">
        <v>2053</v>
      </c>
      <c r="AX1264" s="99">
        <v>50.691358024691361</v>
      </c>
      <c r="DC1264" s="99">
        <v>9.17</v>
      </c>
      <c r="DD1264" s="99">
        <v>0.1</v>
      </c>
      <c r="DE1264" s="99" t="s">
        <v>1027</v>
      </c>
      <c r="FT1264" s="99">
        <v>59</v>
      </c>
    </row>
    <row r="1265" spans="1:176" s="99" customFormat="1" x14ac:dyDescent="0.25">
      <c r="A1265" s="99">
        <v>59</v>
      </c>
      <c r="B1265" s="99" t="s">
        <v>991</v>
      </c>
      <c r="C1265" s="99" t="s">
        <v>992</v>
      </c>
      <c r="D1265" s="99">
        <v>1997</v>
      </c>
      <c r="E1265" s="99">
        <v>1992</v>
      </c>
      <c r="F1265" s="99" t="s">
        <v>993</v>
      </c>
      <c r="G1265" s="99" t="s">
        <v>1020</v>
      </c>
      <c r="H1265" s="99">
        <v>38.92</v>
      </c>
      <c r="I1265" s="99">
        <v>-76.150000000000006</v>
      </c>
      <c r="J1265" s="99">
        <v>5</v>
      </c>
      <c r="M1265" s="99">
        <v>866</v>
      </c>
      <c r="P1265" s="100">
        <v>6</v>
      </c>
      <c r="Q1265" s="100" t="s">
        <v>994</v>
      </c>
      <c r="R1265" s="100"/>
      <c r="S1265" s="100" t="s">
        <v>1565</v>
      </c>
      <c r="T1265" s="100" t="s">
        <v>1565</v>
      </c>
      <c r="U1265" s="100" t="s">
        <v>1593</v>
      </c>
      <c r="V1265" s="100" t="s">
        <v>1908</v>
      </c>
      <c r="W1265" s="99">
        <v>1.5</v>
      </c>
      <c r="Z1265" s="99" t="s">
        <v>531</v>
      </c>
      <c r="AD1265" s="99" t="s">
        <v>1510</v>
      </c>
      <c r="AE1265" s="99" t="s">
        <v>159</v>
      </c>
      <c r="AF1265" s="152" t="s">
        <v>159</v>
      </c>
      <c r="AG1265" s="99" t="s">
        <v>160</v>
      </c>
      <c r="AH1265" s="154" t="s">
        <v>160</v>
      </c>
      <c r="AL1265" s="99" t="s">
        <v>188</v>
      </c>
      <c r="AM1265" s="99" t="s">
        <v>188</v>
      </c>
      <c r="AN1265" s="99" t="s">
        <v>212</v>
      </c>
      <c r="AO1265" s="99" t="s">
        <v>1022</v>
      </c>
      <c r="AP1265" s="99" t="s">
        <v>1022</v>
      </c>
      <c r="AQ1265" s="99" t="s">
        <v>212</v>
      </c>
      <c r="AR1265" s="99" t="s">
        <v>147</v>
      </c>
      <c r="AS1265" s="99">
        <v>4</v>
      </c>
      <c r="AT1265" s="99">
        <v>4</v>
      </c>
      <c r="AU1265" s="99" t="s">
        <v>379</v>
      </c>
      <c r="AW1265" s="99">
        <v>2053</v>
      </c>
      <c r="AX1265" s="99">
        <v>50.691358024691361</v>
      </c>
      <c r="DC1265" s="99">
        <v>5.12</v>
      </c>
      <c r="DD1265" s="99">
        <v>0.55000000000000004</v>
      </c>
      <c r="DE1265" s="99" t="s">
        <v>1027</v>
      </c>
      <c r="FT1265" s="99">
        <v>59</v>
      </c>
    </row>
    <row r="1266" spans="1:176" s="99" customFormat="1" x14ac:dyDescent="0.25">
      <c r="A1266" s="99">
        <v>59</v>
      </c>
      <c r="B1266" s="99" t="s">
        <v>991</v>
      </c>
      <c r="C1266" s="99" t="s">
        <v>992</v>
      </c>
      <c r="D1266" s="99">
        <v>1997</v>
      </c>
      <c r="E1266" s="99">
        <v>1992</v>
      </c>
      <c r="F1266" s="99" t="s">
        <v>993</v>
      </c>
      <c r="G1266" s="99" t="s">
        <v>1020</v>
      </c>
      <c r="H1266" s="99">
        <v>38.92</v>
      </c>
      <c r="I1266" s="99">
        <v>-76.150000000000006</v>
      </c>
      <c r="J1266" s="99">
        <v>5</v>
      </c>
      <c r="M1266" s="99">
        <v>866</v>
      </c>
      <c r="P1266" s="100">
        <v>6</v>
      </c>
      <c r="Q1266" s="100" t="s">
        <v>994</v>
      </c>
      <c r="R1266" s="100"/>
      <c r="S1266" s="100" t="s">
        <v>1565</v>
      </c>
      <c r="T1266" s="100" t="s">
        <v>1565</v>
      </c>
      <c r="U1266" s="100" t="s">
        <v>1593</v>
      </c>
      <c r="V1266" s="100" t="s">
        <v>1908</v>
      </c>
      <c r="W1266" s="99">
        <v>1.5</v>
      </c>
      <c r="Z1266" s="99" t="s">
        <v>531</v>
      </c>
      <c r="AD1266" s="99" t="s">
        <v>1510</v>
      </c>
      <c r="AE1266" s="99" t="s">
        <v>159</v>
      </c>
      <c r="AF1266" s="152" t="s">
        <v>159</v>
      </c>
      <c r="AG1266" s="99" t="s">
        <v>160</v>
      </c>
      <c r="AH1266" s="154" t="s">
        <v>160</v>
      </c>
      <c r="AL1266" s="99" t="s">
        <v>188</v>
      </c>
      <c r="AM1266" s="99" t="s">
        <v>188</v>
      </c>
      <c r="AN1266" s="99" t="s">
        <v>212</v>
      </c>
      <c r="AO1266" s="99" t="s">
        <v>1022</v>
      </c>
      <c r="AP1266" s="99" t="s">
        <v>1022</v>
      </c>
      <c r="AQ1266" s="99" t="s">
        <v>212</v>
      </c>
      <c r="AR1266" s="99" t="s">
        <v>147</v>
      </c>
      <c r="AS1266" s="99">
        <v>4</v>
      </c>
      <c r="AT1266" s="99">
        <v>4</v>
      </c>
      <c r="AU1266" s="99" t="s">
        <v>379</v>
      </c>
      <c r="AW1266" s="99">
        <v>2053</v>
      </c>
      <c r="AX1266" s="99">
        <v>50.691358024691361</v>
      </c>
      <c r="DC1266" s="99">
        <v>12.96</v>
      </c>
      <c r="DD1266" s="99">
        <v>1.23</v>
      </c>
      <c r="DE1266" s="99" t="s">
        <v>1027</v>
      </c>
      <c r="FT1266" s="99">
        <v>59</v>
      </c>
    </row>
    <row r="1267" spans="1:176" s="26" customFormat="1" x14ac:dyDescent="0.25">
      <c r="A1267" s="26">
        <v>59</v>
      </c>
      <c r="B1267" s="26" t="s">
        <v>991</v>
      </c>
      <c r="C1267" s="26" t="s">
        <v>992</v>
      </c>
      <c r="D1267" s="26">
        <v>1997</v>
      </c>
      <c r="E1267" s="26">
        <v>1993</v>
      </c>
      <c r="F1267" s="26" t="s">
        <v>993</v>
      </c>
      <c r="G1267" s="26" t="s">
        <v>1020</v>
      </c>
      <c r="H1267" s="26">
        <v>38.92</v>
      </c>
      <c r="I1267" s="26">
        <v>-76.150000000000006</v>
      </c>
      <c r="J1267" s="26">
        <v>5</v>
      </c>
      <c r="M1267" s="26">
        <v>972</v>
      </c>
      <c r="P1267" s="52">
        <v>7</v>
      </c>
      <c r="Q1267" s="52" t="s">
        <v>994</v>
      </c>
      <c r="R1267" s="52"/>
      <c r="S1267" s="52" t="s">
        <v>1565</v>
      </c>
      <c r="T1267" s="52" t="s">
        <v>1565</v>
      </c>
      <c r="U1267" s="52" t="s">
        <v>1593</v>
      </c>
      <c r="V1267" s="52" t="s">
        <v>1908</v>
      </c>
      <c r="W1267" s="26">
        <v>1.5</v>
      </c>
      <c r="Z1267" s="26" t="s">
        <v>531</v>
      </c>
      <c r="AD1267" s="26" t="s">
        <v>1510</v>
      </c>
      <c r="AE1267" s="26" t="s">
        <v>159</v>
      </c>
      <c r="AF1267" s="152" t="s">
        <v>159</v>
      </c>
      <c r="AG1267" s="26" t="s">
        <v>160</v>
      </c>
      <c r="AH1267" s="154" t="s">
        <v>160</v>
      </c>
      <c r="AL1267" s="26" t="s">
        <v>188</v>
      </c>
      <c r="AM1267" s="26" t="s">
        <v>188</v>
      </c>
      <c r="AN1267" s="26" t="s">
        <v>212</v>
      </c>
      <c r="AO1267" s="26" t="s">
        <v>1022</v>
      </c>
      <c r="AP1267" s="26" t="s">
        <v>1022</v>
      </c>
      <c r="AQ1267" s="26" t="s">
        <v>212</v>
      </c>
      <c r="AR1267" s="26" t="s">
        <v>147</v>
      </c>
      <c r="AS1267" s="26">
        <v>4</v>
      </c>
      <c r="AT1267" s="26">
        <v>4</v>
      </c>
      <c r="AU1267" s="26" t="s">
        <v>379</v>
      </c>
      <c r="AW1267" s="26">
        <v>1873</v>
      </c>
      <c r="AX1267" s="26">
        <v>50.21447721179625</v>
      </c>
      <c r="DC1267" s="26">
        <v>8.82</v>
      </c>
      <c r="DD1267" s="26">
        <v>3.97</v>
      </c>
      <c r="DE1267" s="26" t="s">
        <v>1027</v>
      </c>
      <c r="FT1267" s="26">
        <v>59</v>
      </c>
    </row>
    <row r="1268" spans="1:176" s="26" customFormat="1" x14ac:dyDescent="0.25">
      <c r="A1268" s="26">
        <v>59</v>
      </c>
      <c r="B1268" s="26" t="s">
        <v>991</v>
      </c>
      <c r="C1268" s="26" t="s">
        <v>992</v>
      </c>
      <c r="D1268" s="26">
        <v>1997</v>
      </c>
      <c r="E1268" s="26">
        <v>1993</v>
      </c>
      <c r="F1268" s="26" t="s">
        <v>993</v>
      </c>
      <c r="G1268" s="26" t="s">
        <v>1020</v>
      </c>
      <c r="H1268" s="26">
        <v>38.92</v>
      </c>
      <c r="I1268" s="26">
        <v>-76.150000000000006</v>
      </c>
      <c r="J1268" s="26">
        <v>5</v>
      </c>
      <c r="M1268" s="26">
        <v>972</v>
      </c>
      <c r="P1268" s="52">
        <v>7</v>
      </c>
      <c r="Q1268" s="52" t="s">
        <v>994</v>
      </c>
      <c r="R1268" s="52"/>
      <c r="S1268" s="52" t="s">
        <v>1565</v>
      </c>
      <c r="T1268" s="52" t="s">
        <v>1565</v>
      </c>
      <c r="U1268" s="52" t="s">
        <v>1593</v>
      </c>
      <c r="V1268" s="52" t="s">
        <v>1908</v>
      </c>
      <c r="W1268" s="26">
        <v>1.5</v>
      </c>
      <c r="Z1268" s="26" t="s">
        <v>531</v>
      </c>
      <c r="AD1268" s="26" t="s">
        <v>1510</v>
      </c>
      <c r="AE1268" s="26" t="s">
        <v>159</v>
      </c>
      <c r="AF1268" s="152" t="s">
        <v>159</v>
      </c>
      <c r="AG1268" s="26" t="s">
        <v>160</v>
      </c>
      <c r="AH1268" s="154" t="s">
        <v>160</v>
      </c>
      <c r="AL1268" s="26" t="s">
        <v>188</v>
      </c>
      <c r="AM1268" s="26" t="s">
        <v>188</v>
      </c>
      <c r="AN1268" s="26" t="s">
        <v>212</v>
      </c>
      <c r="AO1268" s="26" t="s">
        <v>1022</v>
      </c>
      <c r="AP1268" s="26" t="s">
        <v>1022</v>
      </c>
      <c r="AQ1268" s="26" t="s">
        <v>212</v>
      </c>
      <c r="AR1268" s="26" t="s">
        <v>147</v>
      </c>
      <c r="AS1268" s="26">
        <v>4</v>
      </c>
      <c r="AT1268" s="26">
        <v>4</v>
      </c>
      <c r="AU1268" s="26" t="s">
        <v>379</v>
      </c>
      <c r="AW1268" s="26">
        <v>1873</v>
      </c>
      <c r="AX1268" s="26">
        <v>50.21447721179625</v>
      </c>
      <c r="DC1268" s="26">
        <v>6.88</v>
      </c>
      <c r="DD1268" s="26">
        <v>5.72</v>
      </c>
      <c r="DE1268" s="26" t="s">
        <v>1027</v>
      </c>
      <c r="FT1268" s="26">
        <v>59</v>
      </c>
    </row>
    <row r="1269" spans="1:176" s="26" customFormat="1" x14ac:dyDescent="0.25">
      <c r="A1269" s="26">
        <v>59</v>
      </c>
      <c r="B1269" s="26" t="s">
        <v>991</v>
      </c>
      <c r="C1269" s="26" t="s">
        <v>992</v>
      </c>
      <c r="D1269" s="26">
        <v>1997</v>
      </c>
      <c r="E1269" s="26">
        <v>1993</v>
      </c>
      <c r="F1269" s="26" t="s">
        <v>993</v>
      </c>
      <c r="G1269" s="26" t="s">
        <v>1020</v>
      </c>
      <c r="H1269" s="26">
        <v>38.92</v>
      </c>
      <c r="I1269" s="26">
        <v>-76.150000000000006</v>
      </c>
      <c r="J1269" s="26">
        <v>5</v>
      </c>
      <c r="M1269" s="26">
        <v>972</v>
      </c>
      <c r="P1269" s="52">
        <v>7</v>
      </c>
      <c r="Q1269" s="52" t="s">
        <v>994</v>
      </c>
      <c r="R1269" s="52"/>
      <c r="S1269" s="52" t="s">
        <v>1565</v>
      </c>
      <c r="T1269" s="52" t="s">
        <v>1565</v>
      </c>
      <c r="U1269" s="52" t="s">
        <v>1593</v>
      </c>
      <c r="V1269" s="52" t="s">
        <v>1908</v>
      </c>
      <c r="W1269" s="26">
        <v>1.5</v>
      </c>
      <c r="Z1269" s="26" t="s">
        <v>531</v>
      </c>
      <c r="AD1269" s="26" t="s">
        <v>1510</v>
      </c>
      <c r="AE1269" s="26" t="s">
        <v>159</v>
      </c>
      <c r="AF1269" s="152" t="s">
        <v>159</v>
      </c>
      <c r="AG1269" s="26" t="s">
        <v>160</v>
      </c>
      <c r="AH1269" s="154" t="s">
        <v>160</v>
      </c>
      <c r="AL1269" s="26" t="s">
        <v>188</v>
      </c>
      <c r="AM1269" s="26" t="s">
        <v>188</v>
      </c>
      <c r="AN1269" s="26" t="s">
        <v>212</v>
      </c>
      <c r="AO1269" s="26" t="s">
        <v>1022</v>
      </c>
      <c r="AP1269" s="26" t="s">
        <v>1022</v>
      </c>
      <c r="AQ1269" s="26" t="s">
        <v>212</v>
      </c>
      <c r="AR1269" s="26" t="s">
        <v>147</v>
      </c>
      <c r="AS1269" s="26">
        <v>4</v>
      </c>
      <c r="AT1269" s="26">
        <v>4</v>
      </c>
      <c r="AU1269" s="26" t="s">
        <v>379</v>
      </c>
      <c r="AW1269" s="26">
        <v>1873</v>
      </c>
      <c r="AX1269" s="26">
        <v>50.21447721179625</v>
      </c>
      <c r="DC1269" s="26">
        <v>10.47</v>
      </c>
      <c r="DD1269" s="26">
        <v>2.72</v>
      </c>
      <c r="DE1269" s="26" t="s">
        <v>1027</v>
      </c>
      <c r="FT1269" s="26">
        <v>59</v>
      </c>
    </row>
    <row r="1270" spans="1:176" s="26" customFormat="1" x14ac:dyDescent="0.25">
      <c r="A1270" s="26">
        <v>59</v>
      </c>
      <c r="B1270" s="26" t="s">
        <v>991</v>
      </c>
      <c r="C1270" s="26" t="s">
        <v>992</v>
      </c>
      <c r="D1270" s="26">
        <v>1997</v>
      </c>
      <c r="E1270" s="26">
        <v>1993</v>
      </c>
      <c r="F1270" s="26" t="s">
        <v>993</v>
      </c>
      <c r="G1270" s="26" t="s">
        <v>1020</v>
      </c>
      <c r="H1270" s="26">
        <v>38.92</v>
      </c>
      <c r="I1270" s="26">
        <v>-76.150000000000006</v>
      </c>
      <c r="J1270" s="26">
        <v>5</v>
      </c>
      <c r="M1270" s="26">
        <v>972</v>
      </c>
      <c r="P1270" s="52">
        <v>7</v>
      </c>
      <c r="Q1270" s="52" t="s">
        <v>994</v>
      </c>
      <c r="R1270" s="52"/>
      <c r="S1270" s="52" t="s">
        <v>1565</v>
      </c>
      <c r="T1270" s="52" t="s">
        <v>1565</v>
      </c>
      <c r="U1270" s="52" t="s">
        <v>1593</v>
      </c>
      <c r="V1270" s="52" t="s">
        <v>1908</v>
      </c>
      <c r="W1270" s="26">
        <v>1.5</v>
      </c>
      <c r="Z1270" s="26" t="s">
        <v>531</v>
      </c>
      <c r="AD1270" s="26" t="s">
        <v>1510</v>
      </c>
      <c r="AE1270" s="26" t="s">
        <v>159</v>
      </c>
      <c r="AF1270" s="152" t="s">
        <v>159</v>
      </c>
      <c r="AG1270" s="26" t="s">
        <v>160</v>
      </c>
      <c r="AH1270" s="154" t="s">
        <v>160</v>
      </c>
      <c r="AL1270" s="26" t="s">
        <v>188</v>
      </c>
      <c r="AM1270" s="26" t="s">
        <v>188</v>
      </c>
      <c r="AN1270" s="26" t="s">
        <v>212</v>
      </c>
      <c r="AO1270" s="26" t="s">
        <v>1022</v>
      </c>
      <c r="AP1270" s="26" t="s">
        <v>1022</v>
      </c>
      <c r="AQ1270" s="26" t="s">
        <v>212</v>
      </c>
      <c r="AR1270" s="26" t="s">
        <v>147</v>
      </c>
      <c r="AS1270" s="26">
        <v>4</v>
      </c>
      <c r="AT1270" s="26">
        <v>4</v>
      </c>
      <c r="AU1270" s="26" t="s">
        <v>379</v>
      </c>
      <c r="AW1270" s="26">
        <v>1873</v>
      </c>
      <c r="AX1270" s="26">
        <v>50.21447721179625</v>
      </c>
      <c r="DC1270" s="26">
        <v>7.95</v>
      </c>
      <c r="DD1270" s="26">
        <v>1.72</v>
      </c>
      <c r="DE1270" s="26" t="s">
        <v>1027</v>
      </c>
      <c r="FT1270" s="26">
        <v>59</v>
      </c>
    </row>
    <row r="1271" spans="1:176" s="26" customFormat="1" x14ac:dyDescent="0.25">
      <c r="A1271" s="26">
        <v>59</v>
      </c>
      <c r="B1271" s="26" t="s">
        <v>991</v>
      </c>
      <c r="C1271" s="26" t="s">
        <v>992</v>
      </c>
      <c r="D1271" s="26">
        <v>1997</v>
      </c>
      <c r="E1271" s="26">
        <v>1993</v>
      </c>
      <c r="F1271" s="26" t="s">
        <v>993</v>
      </c>
      <c r="G1271" s="26" t="s">
        <v>1020</v>
      </c>
      <c r="H1271" s="26">
        <v>38.92</v>
      </c>
      <c r="I1271" s="26">
        <v>-76.150000000000006</v>
      </c>
      <c r="J1271" s="26">
        <v>5</v>
      </c>
      <c r="M1271" s="26">
        <v>972</v>
      </c>
      <c r="P1271" s="52">
        <v>7</v>
      </c>
      <c r="Q1271" s="52" t="s">
        <v>994</v>
      </c>
      <c r="R1271" s="52"/>
      <c r="S1271" s="52" t="s">
        <v>1565</v>
      </c>
      <c r="T1271" s="52" t="s">
        <v>1565</v>
      </c>
      <c r="U1271" s="52" t="s">
        <v>1593</v>
      </c>
      <c r="V1271" s="52" t="s">
        <v>1908</v>
      </c>
      <c r="W1271" s="26">
        <v>1.5</v>
      </c>
      <c r="Z1271" s="26" t="s">
        <v>531</v>
      </c>
      <c r="AD1271" s="26" t="s">
        <v>1510</v>
      </c>
      <c r="AE1271" s="26" t="s">
        <v>159</v>
      </c>
      <c r="AF1271" s="152" t="s">
        <v>159</v>
      </c>
      <c r="AG1271" s="26" t="s">
        <v>160</v>
      </c>
      <c r="AH1271" s="154" t="s">
        <v>160</v>
      </c>
      <c r="AL1271" s="26" t="s">
        <v>188</v>
      </c>
      <c r="AM1271" s="26" t="s">
        <v>188</v>
      </c>
      <c r="AN1271" s="26" t="s">
        <v>212</v>
      </c>
      <c r="AO1271" s="26" t="s">
        <v>1022</v>
      </c>
      <c r="AP1271" s="26" t="s">
        <v>1022</v>
      </c>
      <c r="AQ1271" s="26" t="s">
        <v>212</v>
      </c>
      <c r="AR1271" s="26" t="s">
        <v>147</v>
      </c>
      <c r="AS1271" s="26">
        <v>4</v>
      </c>
      <c r="AT1271" s="26">
        <v>4</v>
      </c>
      <c r="AU1271" s="26" t="s">
        <v>379</v>
      </c>
      <c r="AW1271" s="26">
        <v>1873</v>
      </c>
      <c r="AX1271" s="26">
        <v>50.21447721179625</v>
      </c>
      <c r="DC1271" s="26">
        <v>10.62</v>
      </c>
      <c r="DD1271" s="26">
        <v>0.45</v>
      </c>
      <c r="DE1271" s="26" t="s">
        <v>1027</v>
      </c>
      <c r="FT1271" s="26">
        <v>59</v>
      </c>
    </row>
    <row r="1272" spans="1:176" s="26" customFormat="1" x14ac:dyDescent="0.25">
      <c r="A1272" s="26">
        <v>59</v>
      </c>
      <c r="B1272" s="26" t="s">
        <v>991</v>
      </c>
      <c r="C1272" s="26" t="s">
        <v>992</v>
      </c>
      <c r="D1272" s="26">
        <v>1997</v>
      </c>
      <c r="E1272" s="26">
        <v>1993</v>
      </c>
      <c r="F1272" s="26" t="s">
        <v>993</v>
      </c>
      <c r="G1272" s="26" t="s">
        <v>1020</v>
      </c>
      <c r="H1272" s="26">
        <v>38.92</v>
      </c>
      <c r="I1272" s="26">
        <v>-76.150000000000006</v>
      </c>
      <c r="J1272" s="26">
        <v>5</v>
      </c>
      <c r="M1272" s="26">
        <v>972</v>
      </c>
      <c r="P1272" s="52">
        <v>7</v>
      </c>
      <c r="Q1272" s="52" t="s">
        <v>994</v>
      </c>
      <c r="R1272" s="52"/>
      <c r="S1272" s="52" t="s">
        <v>1565</v>
      </c>
      <c r="T1272" s="52" t="s">
        <v>1565</v>
      </c>
      <c r="U1272" s="52" t="s">
        <v>1593</v>
      </c>
      <c r="V1272" s="52" t="s">
        <v>1908</v>
      </c>
      <c r="W1272" s="26">
        <v>1.5</v>
      </c>
      <c r="Z1272" s="26" t="s">
        <v>531</v>
      </c>
      <c r="AD1272" s="26" t="s">
        <v>1510</v>
      </c>
      <c r="AE1272" s="26" t="s">
        <v>159</v>
      </c>
      <c r="AF1272" s="152" t="s">
        <v>159</v>
      </c>
      <c r="AG1272" s="26" t="s">
        <v>160</v>
      </c>
      <c r="AH1272" s="154" t="s">
        <v>160</v>
      </c>
      <c r="AL1272" s="26" t="s">
        <v>188</v>
      </c>
      <c r="AM1272" s="26" t="s">
        <v>188</v>
      </c>
      <c r="AN1272" s="26" t="s">
        <v>212</v>
      </c>
      <c r="AO1272" s="26" t="s">
        <v>1022</v>
      </c>
      <c r="AP1272" s="26" t="s">
        <v>1022</v>
      </c>
      <c r="AQ1272" s="26" t="s">
        <v>212</v>
      </c>
      <c r="AR1272" s="26" t="s">
        <v>147</v>
      </c>
      <c r="AS1272" s="26">
        <v>4</v>
      </c>
      <c r="AT1272" s="26">
        <v>4</v>
      </c>
      <c r="AU1272" s="26" t="s">
        <v>379</v>
      </c>
      <c r="AW1272" s="26">
        <v>1873</v>
      </c>
      <c r="AX1272" s="26">
        <v>50.21447721179625</v>
      </c>
      <c r="DC1272" s="26">
        <v>7.33</v>
      </c>
      <c r="DD1272" s="26">
        <v>0.26</v>
      </c>
      <c r="DE1272" s="26" t="s">
        <v>1027</v>
      </c>
      <c r="FT1272" s="26">
        <v>59</v>
      </c>
    </row>
    <row r="1273" spans="1:176" s="26" customFormat="1" x14ac:dyDescent="0.25">
      <c r="A1273" s="26">
        <v>59</v>
      </c>
      <c r="B1273" s="26" t="s">
        <v>991</v>
      </c>
      <c r="C1273" s="26" t="s">
        <v>992</v>
      </c>
      <c r="D1273" s="26">
        <v>1997</v>
      </c>
      <c r="E1273" s="26">
        <v>1993</v>
      </c>
      <c r="F1273" s="26" t="s">
        <v>993</v>
      </c>
      <c r="G1273" s="26" t="s">
        <v>1020</v>
      </c>
      <c r="H1273" s="26">
        <v>38.92</v>
      </c>
      <c r="I1273" s="26">
        <v>-76.150000000000006</v>
      </c>
      <c r="J1273" s="26">
        <v>5</v>
      </c>
      <c r="M1273" s="26">
        <v>972</v>
      </c>
      <c r="P1273" s="52">
        <v>7</v>
      </c>
      <c r="Q1273" s="52" t="s">
        <v>994</v>
      </c>
      <c r="R1273" s="52"/>
      <c r="S1273" s="52" t="s">
        <v>1565</v>
      </c>
      <c r="T1273" s="52" t="s">
        <v>1565</v>
      </c>
      <c r="U1273" s="52" t="s">
        <v>1593</v>
      </c>
      <c r="V1273" s="52" t="s">
        <v>1908</v>
      </c>
      <c r="W1273" s="26">
        <v>1.5</v>
      </c>
      <c r="Z1273" s="26" t="s">
        <v>531</v>
      </c>
      <c r="AD1273" s="26" t="s">
        <v>1510</v>
      </c>
      <c r="AE1273" s="26" t="s">
        <v>159</v>
      </c>
      <c r="AF1273" s="152" t="s">
        <v>159</v>
      </c>
      <c r="AG1273" s="26" t="s">
        <v>160</v>
      </c>
      <c r="AH1273" s="154" t="s">
        <v>160</v>
      </c>
      <c r="AL1273" s="26" t="s">
        <v>188</v>
      </c>
      <c r="AM1273" s="26" t="s">
        <v>188</v>
      </c>
      <c r="AN1273" s="26" t="s">
        <v>212</v>
      </c>
      <c r="AO1273" s="26" t="s">
        <v>1022</v>
      </c>
      <c r="AP1273" s="26" t="s">
        <v>1022</v>
      </c>
      <c r="AQ1273" s="26" t="s">
        <v>212</v>
      </c>
      <c r="AR1273" s="26" t="s">
        <v>147</v>
      </c>
      <c r="AS1273" s="26">
        <v>4</v>
      </c>
      <c r="AT1273" s="26">
        <v>4</v>
      </c>
      <c r="AU1273" s="26" t="s">
        <v>379</v>
      </c>
      <c r="AW1273" s="26">
        <v>1873</v>
      </c>
      <c r="AX1273" s="26">
        <v>50.21447721179625</v>
      </c>
      <c r="DC1273" s="26">
        <v>8.69</v>
      </c>
      <c r="DD1273" s="26">
        <v>0.46</v>
      </c>
      <c r="DE1273" s="26" t="s">
        <v>1027</v>
      </c>
      <c r="FT1273" s="26">
        <v>59</v>
      </c>
    </row>
    <row r="1274" spans="1:176" s="26" customFormat="1" x14ac:dyDescent="0.25">
      <c r="A1274" s="26">
        <v>59</v>
      </c>
      <c r="B1274" s="26" t="s">
        <v>991</v>
      </c>
      <c r="C1274" s="26" t="s">
        <v>992</v>
      </c>
      <c r="D1274" s="26">
        <v>1997</v>
      </c>
      <c r="E1274" s="26">
        <v>1993</v>
      </c>
      <c r="F1274" s="26" t="s">
        <v>993</v>
      </c>
      <c r="G1274" s="26" t="s">
        <v>1020</v>
      </c>
      <c r="H1274" s="26">
        <v>38.92</v>
      </c>
      <c r="I1274" s="26">
        <v>-76.150000000000006</v>
      </c>
      <c r="J1274" s="26">
        <v>5</v>
      </c>
      <c r="M1274" s="26">
        <v>972</v>
      </c>
      <c r="P1274" s="52">
        <v>7</v>
      </c>
      <c r="Q1274" s="52" t="s">
        <v>994</v>
      </c>
      <c r="R1274" s="52"/>
      <c r="S1274" s="52" t="s">
        <v>1565</v>
      </c>
      <c r="T1274" s="52" t="s">
        <v>1565</v>
      </c>
      <c r="U1274" s="52" t="s">
        <v>1593</v>
      </c>
      <c r="V1274" s="52" t="s">
        <v>1908</v>
      </c>
      <c r="W1274" s="26">
        <v>1.5</v>
      </c>
      <c r="Z1274" s="26" t="s">
        <v>531</v>
      </c>
      <c r="AD1274" s="26" t="s">
        <v>1510</v>
      </c>
      <c r="AE1274" s="26" t="s">
        <v>159</v>
      </c>
      <c r="AF1274" s="152" t="s">
        <v>159</v>
      </c>
      <c r="AG1274" s="26" t="s">
        <v>160</v>
      </c>
      <c r="AH1274" s="154" t="s">
        <v>160</v>
      </c>
      <c r="AL1274" s="26" t="s">
        <v>188</v>
      </c>
      <c r="AM1274" s="26" t="s">
        <v>188</v>
      </c>
      <c r="AN1274" s="26" t="s">
        <v>212</v>
      </c>
      <c r="AO1274" s="26" t="s">
        <v>1022</v>
      </c>
      <c r="AP1274" s="26" t="s">
        <v>1022</v>
      </c>
      <c r="AQ1274" s="26" t="s">
        <v>212</v>
      </c>
      <c r="AR1274" s="26" t="s">
        <v>147</v>
      </c>
      <c r="AS1274" s="26">
        <v>4</v>
      </c>
      <c r="AT1274" s="26">
        <v>4</v>
      </c>
      <c r="AU1274" s="26" t="s">
        <v>379</v>
      </c>
      <c r="AW1274" s="26">
        <v>1873</v>
      </c>
      <c r="AX1274" s="26">
        <v>50.21447721179625</v>
      </c>
      <c r="DC1274" s="26">
        <v>12.95</v>
      </c>
      <c r="DD1274" s="26">
        <v>2.98</v>
      </c>
      <c r="DE1274" s="26" t="s">
        <v>1027</v>
      </c>
      <c r="FT1274" s="26">
        <v>59</v>
      </c>
    </row>
    <row r="1275" spans="1:176" s="99" customFormat="1" x14ac:dyDescent="0.25">
      <c r="A1275" s="99">
        <v>59</v>
      </c>
      <c r="B1275" s="99" t="s">
        <v>991</v>
      </c>
      <c r="C1275" s="99" t="s">
        <v>992</v>
      </c>
      <c r="D1275" s="99">
        <v>1997</v>
      </c>
      <c r="E1275" s="99">
        <v>1994</v>
      </c>
      <c r="F1275" s="99" t="s">
        <v>993</v>
      </c>
      <c r="G1275" s="99" t="s">
        <v>1020</v>
      </c>
      <c r="H1275" s="99">
        <v>38.92</v>
      </c>
      <c r="I1275" s="99">
        <v>-76.150000000000006</v>
      </c>
      <c r="J1275" s="99">
        <v>5</v>
      </c>
      <c r="M1275" s="99">
        <v>1275</v>
      </c>
      <c r="P1275" s="100">
        <v>8</v>
      </c>
      <c r="Q1275" s="100" t="s">
        <v>994</v>
      </c>
      <c r="R1275" s="100"/>
      <c r="S1275" s="100" t="s">
        <v>1565</v>
      </c>
      <c r="T1275" s="100" t="s">
        <v>1565</v>
      </c>
      <c r="U1275" s="100" t="s">
        <v>1593</v>
      </c>
      <c r="V1275" s="100" t="s">
        <v>1908</v>
      </c>
      <c r="W1275" s="99">
        <v>1.5</v>
      </c>
      <c r="Z1275" s="99" t="s">
        <v>531</v>
      </c>
      <c r="AD1275" s="99" t="s">
        <v>1510</v>
      </c>
      <c r="AE1275" s="99" t="s">
        <v>159</v>
      </c>
      <c r="AF1275" s="152" t="s">
        <v>159</v>
      </c>
      <c r="AG1275" s="99" t="s">
        <v>160</v>
      </c>
      <c r="AH1275" s="154" t="s">
        <v>160</v>
      </c>
      <c r="AL1275" s="99" t="s">
        <v>188</v>
      </c>
      <c r="AM1275" s="99" t="s">
        <v>188</v>
      </c>
      <c r="AN1275" s="99" t="s">
        <v>212</v>
      </c>
      <c r="AO1275" s="99" t="s">
        <v>1022</v>
      </c>
      <c r="AP1275" s="99" t="s">
        <v>1022</v>
      </c>
      <c r="AQ1275" s="99" t="s">
        <v>212</v>
      </c>
      <c r="AR1275" s="99" t="s">
        <v>147</v>
      </c>
      <c r="AS1275" s="99">
        <v>4</v>
      </c>
      <c r="AT1275" s="99">
        <v>4</v>
      </c>
      <c r="AU1275" s="99" t="s">
        <v>379</v>
      </c>
      <c r="AW1275" s="99">
        <v>3645</v>
      </c>
      <c r="AX1275" s="99">
        <v>61.570945945945944</v>
      </c>
      <c r="DC1275" s="99">
        <v>16.27</v>
      </c>
      <c r="DD1275" s="99">
        <v>6</v>
      </c>
      <c r="DE1275" s="99" t="s">
        <v>1027</v>
      </c>
      <c r="FT1275" s="99">
        <v>59</v>
      </c>
    </row>
    <row r="1276" spans="1:176" s="99" customFormat="1" x14ac:dyDescent="0.25">
      <c r="A1276" s="99">
        <v>59</v>
      </c>
      <c r="B1276" s="99" t="s">
        <v>991</v>
      </c>
      <c r="C1276" s="99" t="s">
        <v>992</v>
      </c>
      <c r="D1276" s="99">
        <v>1997</v>
      </c>
      <c r="E1276" s="99">
        <v>1994</v>
      </c>
      <c r="F1276" s="99" t="s">
        <v>993</v>
      </c>
      <c r="G1276" s="99" t="s">
        <v>1020</v>
      </c>
      <c r="H1276" s="99">
        <v>38.92</v>
      </c>
      <c r="I1276" s="99">
        <v>-76.150000000000006</v>
      </c>
      <c r="J1276" s="99">
        <v>5</v>
      </c>
      <c r="M1276" s="99">
        <v>1275</v>
      </c>
      <c r="P1276" s="100">
        <v>8</v>
      </c>
      <c r="Q1276" s="100" t="s">
        <v>994</v>
      </c>
      <c r="R1276" s="100"/>
      <c r="S1276" s="100" t="s">
        <v>1565</v>
      </c>
      <c r="T1276" s="100" t="s">
        <v>1565</v>
      </c>
      <c r="U1276" s="100" t="s">
        <v>1593</v>
      </c>
      <c r="V1276" s="100" t="s">
        <v>1908</v>
      </c>
      <c r="W1276" s="99">
        <v>1.5</v>
      </c>
      <c r="Z1276" s="99" t="s">
        <v>531</v>
      </c>
      <c r="AD1276" s="99" t="s">
        <v>1510</v>
      </c>
      <c r="AE1276" s="99" t="s">
        <v>159</v>
      </c>
      <c r="AF1276" s="152" t="s">
        <v>159</v>
      </c>
      <c r="AG1276" s="99" t="s">
        <v>160</v>
      </c>
      <c r="AH1276" s="154" t="s">
        <v>160</v>
      </c>
      <c r="AL1276" s="99" t="s">
        <v>188</v>
      </c>
      <c r="AM1276" s="99" t="s">
        <v>188</v>
      </c>
      <c r="AN1276" s="99" t="s">
        <v>212</v>
      </c>
      <c r="AO1276" s="99" t="s">
        <v>1022</v>
      </c>
      <c r="AP1276" s="99" t="s">
        <v>1022</v>
      </c>
      <c r="AQ1276" s="99" t="s">
        <v>212</v>
      </c>
      <c r="AR1276" s="99" t="s">
        <v>147</v>
      </c>
      <c r="AS1276" s="99">
        <v>4</v>
      </c>
      <c r="AT1276" s="99">
        <v>4</v>
      </c>
      <c r="AU1276" s="99" t="s">
        <v>379</v>
      </c>
      <c r="AW1276" s="99">
        <v>3645</v>
      </c>
      <c r="AX1276" s="99">
        <v>61.570945945945944</v>
      </c>
      <c r="DC1276" s="99">
        <v>15.46</v>
      </c>
      <c r="DD1276" s="99">
        <v>2.19</v>
      </c>
      <c r="DE1276" s="99" t="s">
        <v>1027</v>
      </c>
      <c r="FT1276" s="99">
        <v>59</v>
      </c>
    </row>
    <row r="1277" spans="1:176" s="99" customFormat="1" x14ac:dyDescent="0.25">
      <c r="A1277" s="99">
        <v>59</v>
      </c>
      <c r="B1277" s="99" t="s">
        <v>991</v>
      </c>
      <c r="C1277" s="99" t="s">
        <v>992</v>
      </c>
      <c r="D1277" s="99">
        <v>1997</v>
      </c>
      <c r="E1277" s="99">
        <v>1994</v>
      </c>
      <c r="F1277" s="99" t="s">
        <v>993</v>
      </c>
      <c r="G1277" s="99" t="s">
        <v>1020</v>
      </c>
      <c r="H1277" s="99">
        <v>38.92</v>
      </c>
      <c r="I1277" s="99">
        <v>-76.150000000000006</v>
      </c>
      <c r="J1277" s="99">
        <v>5</v>
      </c>
      <c r="M1277" s="99">
        <v>1275</v>
      </c>
      <c r="P1277" s="100">
        <v>8</v>
      </c>
      <c r="Q1277" s="100" t="s">
        <v>994</v>
      </c>
      <c r="R1277" s="100"/>
      <c r="S1277" s="100" t="s">
        <v>1565</v>
      </c>
      <c r="T1277" s="100" t="s">
        <v>1565</v>
      </c>
      <c r="U1277" s="100" t="s">
        <v>1593</v>
      </c>
      <c r="V1277" s="100" t="s">
        <v>1908</v>
      </c>
      <c r="W1277" s="99">
        <v>1.5</v>
      </c>
      <c r="Z1277" s="99" t="s">
        <v>531</v>
      </c>
      <c r="AD1277" s="99" t="s">
        <v>1510</v>
      </c>
      <c r="AE1277" s="99" t="s">
        <v>159</v>
      </c>
      <c r="AF1277" s="152" t="s">
        <v>159</v>
      </c>
      <c r="AG1277" s="99" t="s">
        <v>160</v>
      </c>
      <c r="AH1277" s="154" t="s">
        <v>160</v>
      </c>
      <c r="AL1277" s="99" t="s">
        <v>188</v>
      </c>
      <c r="AM1277" s="99" t="s">
        <v>188</v>
      </c>
      <c r="AN1277" s="99" t="s">
        <v>212</v>
      </c>
      <c r="AO1277" s="99" t="s">
        <v>1022</v>
      </c>
      <c r="AP1277" s="99" t="s">
        <v>1022</v>
      </c>
      <c r="AQ1277" s="99" t="s">
        <v>212</v>
      </c>
      <c r="AR1277" s="99" t="s">
        <v>147</v>
      </c>
      <c r="AS1277" s="99">
        <v>4</v>
      </c>
      <c r="AT1277" s="99">
        <v>4</v>
      </c>
      <c r="AU1277" s="99" t="s">
        <v>379</v>
      </c>
      <c r="AW1277" s="99">
        <v>3645</v>
      </c>
      <c r="AX1277" s="99">
        <v>61.570945945945944</v>
      </c>
      <c r="DC1277" s="99">
        <v>23.55</v>
      </c>
      <c r="DD1277" s="99">
        <v>1.56</v>
      </c>
      <c r="DE1277" s="99" t="s">
        <v>1027</v>
      </c>
      <c r="FT1277" s="99">
        <v>59</v>
      </c>
    </row>
    <row r="1278" spans="1:176" s="99" customFormat="1" x14ac:dyDescent="0.25">
      <c r="A1278" s="99">
        <v>59</v>
      </c>
      <c r="B1278" s="99" t="s">
        <v>991</v>
      </c>
      <c r="C1278" s="99" t="s">
        <v>992</v>
      </c>
      <c r="D1278" s="99">
        <v>1997</v>
      </c>
      <c r="E1278" s="99">
        <v>1994</v>
      </c>
      <c r="F1278" s="99" t="s">
        <v>993</v>
      </c>
      <c r="G1278" s="99" t="s">
        <v>1020</v>
      </c>
      <c r="H1278" s="99">
        <v>38.92</v>
      </c>
      <c r="I1278" s="99">
        <v>-76.150000000000006</v>
      </c>
      <c r="J1278" s="99">
        <v>5</v>
      </c>
      <c r="M1278" s="99">
        <v>1275</v>
      </c>
      <c r="P1278" s="100">
        <v>8</v>
      </c>
      <c r="Q1278" s="100" t="s">
        <v>994</v>
      </c>
      <c r="R1278" s="100"/>
      <c r="S1278" s="100" t="s">
        <v>1565</v>
      </c>
      <c r="T1278" s="100" t="s">
        <v>1565</v>
      </c>
      <c r="U1278" s="100" t="s">
        <v>1593</v>
      </c>
      <c r="V1278" s="100" t="s">
        <v>1908</v>
      </c>
      <c r="W1278" s="99">
        <v>1.5</v>
      </c>
      <c r="Z1278" s="99" t="s">
        <v>531</v>
      </c>
      <c r="AD1278" s="99" t="s">
        <v>1510</v>
      </c>
      <c r="AE1278" s="99" t="s">
        <v>159</v>
      </c>
      <c r="AF1278" s="152" t="s">
        <v>159</v>
      </c>
      <c r="AG1278" s="99" t="s">
        <v>160</v>
      </c>
      <c r="AH1278" s="154" t="s">
        <v>160</v>
      </c>
      <c r="AL1278" s="99" t="s">
        <v>188</v>
      </c>
      <c r="AM1278" s="99" t="s">
        <v>188</v>
      </c>
      <c r="AN1278" s="99" t="s">
        <v>212</v>
      </c>
      <c r="AO1278" s="99" t="s">
        <v>1022</v>
      </c>
      <c r="AP1278" s="99" t="s">
        <v>1022</v>
      </c>
      <c r="AQ1278" s="99" t="s">
        <v>212</v>
      </c>
      <c r="AR1278" s="99" t="s">
        <v>147</v>
      </c>
      <c r="AS1278" s="99">
        <v>4</v>
      </c>
      <c r="AT1278" s="99">
        <v>4</v>
      </c>
      <c r="AU1278" s="99" t="s">
        <v>379</v>
      </c>
      <c r="AW1278" s="99">
        <v>3645</v>
      </c>
      <c r="AX1278" s="99">
        <v>61.570945945945944</v>
      </c>
      <c r="DC1278" s="99">
        <v>7.28</v>
      </c>
      <c r="DD1278" s="99">
        <v>0.3</v>
      </c>
      <c r="DE1278" s="99" t="s">
        <v>1027</v>
      </c>
      <c r="FT1278" s="99">
        <v>59</v>
      </c>
    </row>
    <row r="1279" spans="1:176" s="99" customFormat="1" x14ac:dyDescent="0.25">
      <c r="A1279" s="99">
        <v>59</v>
      </c>
      <c r="B1279" s="99" t="s">
        <v>991</v>
      </c>
      <c r="C1279" s="99" t="s">
        <v>992</v>
      </c>
      <c r="D1279" s="99">
        <v>1997</v>
      </c>
      <c r="E1279" s="99">
        <v>1994</v>
      </c>
      <c r="F1279" s="99" t="s">
        <v>993</v>
      </c>
      <c r="G1279" s="99" t="s">
        <v>1020</v>
      </c>
      <c r="H1279" s="99">
        <v>38.92</v>
      </c>
      <c r="I1279" s="99">
        <v>-76.150000000000006</v>
      </c>
      <c r="J1279" s="99">
        <v>5</v>
      </c>
      <c r="M1279" s="99">
        <v>1275</v>
      </c>
      <c r="P1279" s="100">
        <v>8</v>
      </c>
      <c r="Q1279" s="100" t="s">
        <v>994</v>
      </c>
      <c r="R1279" s="100"/>
      <c r="S1279" s="100" t="s">
        <v>1565</v>
      </c>
      <c r="T1279" s="100" t="s">
        <v>1565</v>
      </c>
      <c r="U1279" s="100" t="s">
        <v>1593</v>
      </c>
      <c r="V1279" s="100" t="s">
        <v>1908</v>
      </c>
      <c r="W1279" s="99">
        <v>1.5</v>
      </c>
      <c r="Z1279" s="99" t="s">
        <v>531</v>
      </c>
      <c r="AD1279" s="99" t="s">
        <v>1510</v>
      </c>
      <c r="AE1279" s="99" t="s">
        <v>159</v>
      </c>
      <c r="AF1279" s="152" t="s">
        <v>159</v>
      </c>
      <c r="AG1279" s="99" t="s">
        <v>160</v>
      </c>
      <c r="AH1279" s="154" t="s">
        <v>160</v>
      </c>
      <c r="AL1279" s="99" t="s">
        <v>188</v>
      </c>
      <c r="AM1279" s="99" t="s">
        <v>188</v>
      </c>
      <c r="AN1279" s="99" t="s">
        <v>212</v>
      </c>
      <c r="AO1279" s="99" t="s">
        <v>1022</v>
      </c>
      <c r="AP1279" s="99" t="s">
        <v>1022</v>
      </c>
      <c r="AQ1279" s="99" t="s">
        <v>212</v>
      </c>
      <c r="AR1279" s="99" t="s">
        <v>147</v>
      </c>
      <c r="AS1279" s="99">
        <v>4</v>
      </c>
      <c r="AT1279" s="99">
        <v>4</v>
      </c>
      <c r="AU1279" s="99" t="s">
        <v>379</v>
      </c>
      <c r="AW1279" s="99">
        <v>3645</v>
      </c>
      <c r="AX1279" s="99">
        <v>61.570945945945944</v>
      </c>
      <c r="DC1279" s="99">
        <v>7.38</v>
      </c>
      <c r="DD1279" s="99">
        <v>0.21</v>
      </c>
      <c r="DE1279" s="99" t="s">
        <v>1027</v>
      </c>
      <c r="FT1279" s="99">
        <v>59</v>
      </c>
    </row>
    <row r="1280" spans="1:176" s="99" customFormat="1" x14ac:dyDescent="0.25">
      <c r="A1280" s="99">
        <v>59</v>
      </c>
      <c r="B1280" s="99" t="s">
        <v>991</v>
      </c>
      <c r="C1280" s="99" t="s">
        <v>992</v>
      </c>
      <c r="D1280" s="99">
        <v>1997</v>
      </c>
      <c r="E1280" s="99">
        <v>1994</v>
      </c>
      <c r="F1280" s="99" t="s">
        <v>993</v>
      </c>
      <c r="G1280" s="99" t="s">
        <v>1020</v>
      </c>
      <c r="H1280" s="99">
        <v>38.92</v>
      </c>
      <c r="I1280" s="99">
        <v>-76.150000000000006</v>
      </c>
      <c r="J1280" s="99">
        <v>5</v>
      </c>
      <c r="M1280" s="99">
        <v>1275</v>
      </c>
      <c r="P1280" s="100">
        <v>8</v>
      </c>
      <c r="Q1280" s="100" t="s">
        <v>994</v>
      </c>
      <c r="R1280" s="100"/>
      <c r="S1280" s="100" t="s">
        <v>1565</v>
      </c>
      <c r="T1280" s="100" t="s">
        <v>1565</v>
      </c>
      <c r="U1280" s="100" t="s">
        <v>1593</v>
      </c>
      <c r="V1280" s="100" t="s">
        <v>1908</v>
      </c>
      <c r="W1280" s="99">
        <v>1.5</v>
      </c>
      <c r="Z1280" s="99" t="s">
        <v>531</v>
      </c>
      <c r="AD1280" s="99" t="s">
        <v>1510</v>
      </c>
      <c r="AE1280" s="99" t="s">
        <v>159</v>
      </c>
      <c r="AF1280" s="152" t="s">
        <v>159</v>
      </c>
      <c r="AG1280" s="99" t="s">
        <v>160</v>
      </c>
      <c r="AH1280" s="154" t="s">
        <v>160</v>
      </c>
      <c r="AL1280" s="99" t="s">
        <v>188</v>
      </c>
      <c r="AM1280" s="99" t="s">
        <v>188</v>
      </c>
      <c r="AN1280" s="99" t="s">
        <v>212</v>
      </c>
      <c r="AO1280" s="99" t="s">
        <v>1022</v>
      </c>
      <c r="AP1280" s="99" t="s">
        <v>1022</v>
      </c>
      <c r="AQ1280" s="99" t="s">
        <v>212</v>
      </c>
      <c r="AR1280" s="99" t="s">
        <v>147</v>
      </c>
      <c r="AS1280" s="99">
        <v>4</v>
      </c>
      <c r="AT1280" s="99">
        <v>4</v>
      </c>
      <c r="AU1280" s="99" t="s">
        <v>379</v>
      </c>
      <c r="AW1280" s="99">
        <v>3645</v>
      </c>
      <c r="AX1280" s="99">
        <v>61.570945945945944</v>
      </c>
      <c r="DC1280" s="99">
        <v>12.85</v>
      </c>
      <c r="DD1280" s="99">
        <v>0.16</v>
      </c>
      <c r="DE1280" s="99" t="s">
        <v>1027</v>
      </c>
      <c r="FT1280" s="99">
        <v>59</v>
      </c>
    </row>
    <row r="1281" spans="1:176" s="99" customFormat="1" x14ac:dyDescent="0.25">
      <c r="A1281" s="99">
        <v>59</v>
      </c>
      <c r="B1281" s="99" t="s">
        <v>991</v>
      </c>
      <c r="C1281" s="99" t="s">
        <v>992</v>
      </c>
      <c r="D1281" s="99">
        <v>1997</v>
      </c>
      <c r="E1281" s="99">
        <v>1994</v>
      </c>
      <c r="F1281" s="99" t="s">
        <v>993</v>
      </c>
      <c r="G1281" s="99" t="s">
        <v>1020</v>
      </c>
      <c r="H1281" s="99">
        <v>38.92</v>
      </c>
      <c r="I1281" s="99">
        <v>-76.150000000000006</v>
      </c>
      <c r="J1281" s="99">
        <v>5</v>
      </c>
      <c r="M1281" s="99">
        <v>1275</v>
      </c>
      <c r="P1281" s="100">
        <v>8</v>
      </c>
      <c r="Q1281" s="100" t="s">
        <v>994</v>
      </c>
      <c r="R1281" s="100"/>
      <c r="S1281" s="100" t="s">
        <v>1565</v>
      </c>
      <c r="T1281" s="100" t="s">
        <v>1565</v>
      </c>
      <c r="U1281" s="100" t="s">
        <v>1593</v>
      </c>
      <c r="V1281" s="100" t="s">
        <v>1908</v>
      </c>
      <c r="W1281" s="99">
        <v>1.5</v>
      </c>
      <c r="Z1281" s="99" t="s">
        <v>531</v>
      </c>
      <c r="AD1281" s="99" t="s">
        <v>1510</v>
      </c>
      <c r="AE1281" s="99" t="s">
        <v>159</v>
      </c>
      <c r="AF1281" s="152" t="s">
        <v>159</v>
      </c>
      <c r="AG1281" s="99" t="s">
        <v>160</v>
      </c>
      <c r="AH1281" s="154" t="s">
        <v>160</v>
      </c>
      <c r="AL1281" s="99" t="s">
        <v>188</v>
      </c>
      <c r="AM1281" s="99" t="s">
        <v>188</v>
      </c>
      <c r="AN1281" s="99" t="s">
        <v>212</v>
      </c>
      <c r="AO1281" s="99" t="s">
        <v>1022</v>
      </c>
      <c r="AP1281" s="99" t="s">
        <v>1022</v>
      </c>
      <c r="AQ1281" s="99" t="s">
        <v>212</v>
      </c>
      <c r="AR1281" s="99" t="s">
        <v>147</v>
      </c>
      <c r="AS1281" s="99">
        <v>4</v>
      </c>
      <c r="AT1281" s="99">
        <v>4</v>
      </c>
      <c r="AU1281" s="99" t="s">
        <v>379</v>
      </c>
      <c r="AW1281" s="99">
        <v>3645</v>
      </c>
      <c r="AX1281" s="99">
        <v>61.570945945945944</v>
      </c>
      <c r="DC1281" s="99">
        <v>5</v>
      </c>
      <c r="DD1281" s="99">
        <v>0.16</v>
      </c>
      <c r="DE1281" s="99" t="s">
        <v>1027</v>
      </c>
      <c r="FT1281" s="99">
        <v>59</v>
      </c>
    </row>
    <row r="1282" spans="1:176" s="99" customFormat="1" x14ac:dyDescent="0.25">
      <c r="A1282" s="99">
        <v>59</v>
      </c>
      <c r="B1282" s="99" t="s">
        <v>991</v>
      </c>
      <c r="C1282" s="99" t="s">
        <v>992</v>
      </c>
      <c r="D1282" s="99">
        <v>1997</v>
      </c>
      <c r="E1282" s="99">
        <v>1994</v>
      </c>
      <c r="F1282" s="99" t="s">
        <v>993</v>
      </c>
      <c r="G1282" s="99" t="s">
        <v>1020</v>
      </c>
      <c r="H1282" s="99">
        <v>38.92</v>
      </c>
      <c r="I1282" s="99">
        <v>-76.150000000000006</v>
      </c>
      <c r="J1282" s="99">
        <v>5</v>
      </c>
      <c r="M1282" s="99">
        <v>1275</v>
      </c>
      <c r="P1282" s="100">
        <v>8</v>
      </c>
      <c r="Q1282" s="100" t="s">
        <v>994</v>
      </c>
      <c r="R1282" s="100"/>
      <c r="S1282" s="100" t="s">
        <v>1565</v>
      </c>
      <c r="T1282" s="100" t="s">
        <v>1565</v>
      </c>
      <c r="U1282" s="100" t="s">
        <v>1593</v>
      </c>
      <c r="V1282" s="100" t="s">
        <v>1908</v>
      </c>
      <c r="W1282" s="99">
        <v>1.5</v>
      </c>
      <c r="Z1282" s="99" t="s">
        <v>531</v>
      </c>
      <c r="AD1282" s="99" t="s">
        <v>1510</v>
      </c>
      <c r="AE1282" s="99" t="s">
        <v>159</v>
      </c>
      <c r="AF1282" s="152" t="s">
        <v>159</v>
      </c>
      <c r="AG1282" s="99" t="s">
        <v>160</v>
      </c>
      <c r="AH1282" s="154" t="s">
        <v>160</v>
      </c>
      <c r="AL1282" s="99" t="s">
        <v>188</v>
      </c>
      <c r="AM1282" s="99" t="s">
        <v>188</v>
      </c>
      <c r="AN1282" s="99" t="s">
        <v>212</v>
      </c>
      <c r="AO1282" s="99" t="s">
        <v>1022</v>
      </c>
      <c r="AP1282" s="99" t="s">
        <v>1022</v>
      </c>
      <c r="AQ1282" s="99" t="s">
        <v>212</v>
      </c>
      <c r="AR1282" s="99" t="s">
        <v>147</v>
      </c>
      <c r="AS1282" s="99">
        <v>4</v>
      </c>
      <c r="AT1282" s="99">
        <v>4</v>
      </c>
      <c r="AU1282" s="99" t="s">
        <v>379</v>
      </c>
      <c r="AW1282" s="99">
        <v>3645</v>
      </c>
      <c r="AX1282" s="99">
        <v>61.570945945945944</v>
      </c>
      <c r="DC1282" s="99">
        <v>0.55000000000000004</v>
      </c>
      <c r="DD1282" s="99">
        <v>0.36</v>
      </c>
      <c r="DE1282" s="99" t="s">
        <v>1027</v>
      </c>
      <c r="FT1282" s="99">
        <v>59</v>
      </c>
    </row>
    <row r="1283" spans="1:176" s="26" customFormat="1" x14ac:dyDescent="0.25">
      <c r="A1283" s="26">
        <v>59</v>
      </c>
      <c r="B1283" s="26" t="s">
        <v>991</v>
      </c>
      <c r="C1283" s="26" t="s">
        <v>992</v>
      </c>
      <c r="D1283" s="26">
        <v>1997</v>
      </c>
      <c r="E1283" s="26">
        <v>1995</v>
      </c>
      <c r="F1283" s="26" t="s">
        <v>993</v>
      </c>
      <c r="G1283" s="26" t="s">
        <v>1020</v>
      </c>
      <c r="H1283" s="26">
        <v>38.92</v>
      </c>
      <c r="I1283" s="26">
        <v>-76.150000000000006</v>
      </c>
      <c r="J1283" s="26">
        <v>5</v>
      </c>
      <c r="M1283" s="26">
        <v>755</v>
      </c>
      <c r="P1283" s="52">
        <v>9</v>
      </c>
      <c r="Q1283" s="52" t="s">
        <v>994</v>
      </c>
      <c r="R1283" s="52"/>
      <c r="S1283" s="52" t="s">
        <v>1565</v>
      </c>
      <c r="T1283" s="52" t="s">
        <v>1565</v>
      </c>
      <c r="U1283" s="52" t="s">
        <v>1593</v>
      </c>
      <c r="V1283" s="52" t="s">
        <v>1908</v>
      </c>
      <c r="W1283" s="26">
        <v>1.5</v>
      </c>
      <c r="Z1283" s="26" t="s">
        <v>531</v>
      </c>
      <c r="AD1283" s="26" t="s">
        <v>1510</v>
      </c>
      <c r="AE1283" s="26" t="s">
        <v>159</v>
      </c>
      <c r="AF1283" s="152" t="s">
        <v>159</v>
      </c>
      <c r="AG1283" s="26" t="s">
        <v>160</v>
      </c>
      <c r="AH1283" s="154" t="s">
        <v>160</v>
      </c>
      <c r="AL1283" s="26" t="s">
        <v>188</v>
      </c>
      <c r="AM1283" s="26" t="s">
        <v>188</v>
      </c>
      <c r="AN1283" s="26" t="s">
        <v>212</v>
      </c>
      <c r="AO1283" s="26" t="s">
        <v>1022</v>
      </c>
      <c r="AP1283" s="26" t="s">
        <v>1022</v>
      </c>
      <c r="AQ1283" s="26" t="s">
        <v>212</v>
      </c>
      <c r="AR1283" s="26" t="s">
        <v>147</v>
      </c>
      <c r="AS1283" s="26">
        <v>4</v>
      </c>
      <c r="AT1283" s="26">
        <v>4</v>
      </c>
      <c r="AU1283" s="26" t="s">
        <v>379</v>
      </c>
      <c r="AW1283" s="26">
        <v>3645</v>
      </c>
      <c r="AX1283" s="26">
        <v>61.570945945945944</v>
      </c>
      <c r="DC1283" s="26">
        <v>5.81</v>
      </c>
      <c r="DD1283" s="26">
        <v>3.78</v>
      </c>
      <c r="DE1283" s="26" t="s">
        <v>1027</v>
      </c>
      <c r="FT1283" s="26">
        <v>59</v>
      </c>
    </row>
    <row r="1284" spans="1:176" s="26" customFormat="1" x14ac:dyDescent="0.25">
      <c r="A1284" s="26">
        <v>59</v>
      </c>
      <c r="B1284" s="26" t="s">
        <v>991</v>
      </c>
      <c r="C1284" s="26" t="s">
        <v>992</v>
      </c>
      <c r="D1284" s="26">
        <v>1997</v>
      </c>
      <c r="E1284" s="26">
        <v>1995</v>
      </c>
      <c r="F1284" s="26" t="s">
        <v>993</v>
      </c>
      <c r="G1284" s="26" t="s">
        <v>1020</v>
      </c>
      <c r="H1284" s="26">
        <v>38.92</v>
      </c>
      <c r="I1284" s="26">
        <v>-76.150000000000006</v>
      </c>
      <c r="J1284" s="26">
        <v>5</v>
      </c>
      <c r="M1284" s="26">
        <v>755</v>
      </c>
      <c r="P1284" s="52">
        <v>9</v>
      </c>
      <c r="Q1284" s="52" t="s">
        <v>994</v>
      </c>
      <c r="R1284" s="52"/>
      <c r="S1284" s="52" t="s">
        <v>1565</v>
      </c>
      <c r="T1284" s="52" t="s">
        <v>1565</v>
      </c>
      <c r="U1284" s="52" t="s">
        <v>1593</v>
      </c>
      <c r="V1284" s="52" t="s">
        <v>1908</v>
      </c>
      <c r="W1284" s="26">
        <v>1.5</v>
      </c>
      <c r="Z1284" s="26" t="s">
        <v>531</v>
      </c>
      <c r="AD1284" s="26" t="s">
        <v>1510</v>
      </c>
      <c r="AE1284" s="26" t="s">
        <v>159</v>
      </c>
      <c r="AF1284" s="152" t="s">
        <v>159</v>
      </c>
      <c r="AG1284" s="26" t="s">
        <v>160</v>
      </c>
      <c r="AH1284" s="154" t="s">
        <v>160</v>
      </c>
      <c r="AL1284" s="26" t="s">
        <v>188</v>
      </c>
      <c r="AM1284" s="26" t="s">
        <v>188</v>
      </c>
      <c r="AN1284" s="26" t="s">
        <v>212</v>
      </c>
      <c r="AO1284" s="26" t="s">
        <v>1022</v>
      </c>
      <c r="AP1284" s="26" t="s">
        <v>1022</v>
      </c>
      <c r="AQ1284" s="26" t="s">
        <v>212</v>
      </c>
      <c r="AR1284" s="26" t="s">
        <v>147</v>
      </c>
      <c r="AS1284" s="26">
        <v>4</v>
      </c>
      <c r="AT1284" s="26">
        <v>4</v>
      </c>
      <c r="AU1284" s="26" t="s">
        <v>379</v>
      </c>
      <c r="AW1284" s="26">
        <v>3645</v>
      </c>
      <c r="AX1284" s="26">
        <v>61.570945945945944</v>
      </c>
      <c r="DC1284" s="26">
        <v>16.760000000000002</v>
      </c>
      <c r="DD1284" s="26">
        <v>0.39</v>
      </c>
      <c r="DE1284" s="26" t="s">
        <v>1027</v>
      </c>
      <c r="FT1284" s="26">
        <v>59</v>
      </c>
    </row>
    <row r="1285" spans="1:176" s="26" customFormat="1" x14ac:dyDescent="0.25">
      <c r="A1285" s="26">
        <v>59</v>
      </c>
      <c r="B1285" s="26" t="s">
        <v>991</v>
      </c>
      <c r="C1285" s="26" t="s">
        <v>992</v>
      </c>
      <c r="D1285" s="26">
        <v>1997</v>
      </c>
      <c r="E1285" s="26">
        <v>1995</v>
      </c>
      <c r="F1285" s="26" t="s">
        <v>993</v>
      </c>
      <c r="G1285" s="26" t="s">
        <v>1020</v>
      </c>
      <c r="H1285" s="26">
        <v>38.92</v>
      </c>
      <c r="I1285" s="26">
        <v>-76.150000000000006</v>
      </c>
      <c r="J1285" s="26">
        <v>5</v>
      </c>
      <c r="M1285" s="26">
        <v>755</v>
      </c>
      <c r="P1285" s="52">
        <v>9</v>
      </c>
      <c r="Q1285" s="52" t="s">
        <v>994</v>
      </c>
      <c r="R1285" s="52"/>
      <c r="S1285" s="52" t="s">
        <v>1565</v>
      </c>
      <c r="T1285" s="52" t="s">
        <v>1565</v>
      </c>
      <c r="U1285" s="52" t="s">
        <v>1593</v>
      </c>
      <c r="V1285" s="52" t="s">
        <v>1908</v>
      </c>
      <c r="W1285" s="26">
        <v>1.5</v>
      </c>
      <c r="Z1285" s="26" t="s">
        <v>531</v>
      </c>
      <c r="AD1285" s="26" t="s">
        <v>1510</v>
      </c>
      <c r="AE1285" s="26" t="s">
        <v>159</v>
      </c>
      <c r="AF1285" s="152" t="s">
        <v>159</v>
      </c>
      <c r="AG1285" s="26" t="s">
        <v>160</v>
      </c>
      <c r="AH1285" s="154" t="s">
        <v>160</v>
      </c>
      <c r="AL1285" s="26" t="s">
        <v>188</v>
      </c>
      <c r="AM1285" s="26" t="s">
        <v>188</v>
      </c>
      <c r="AN1285" s="26" t="s">
        <v>212</v>
      </c>
      <c r="AO1285" s="26" t="s">
        <v>1022</v>
      </c>
      <c r="AP1285" s="26" t="s">
        <v>1022</v>
      </c>
      <c r="AQ1285" s="26" t="s">
        <v>212</v>
      </c>
      <c r="AR1285" s="26" t="s">
        <v>147</v>
      </c>
      <c r="AS1285" s="26">
        <v>4</v>
      </c>
      <c r="AT1285" s="26">
        <v>4</v>
      </c>
      <c r="AU1285" s="26" t="s">
        <v>379</v>
      </c>
      <c r="AW1285" s="26">
        <v>3645</v>
      </c>
      <c r="AX1285" s="26">
        <v>61.570945945945944</v>
      </c>
      <c r="DC1285" s="26">
        <v>15.75</v>
      </c>
      <c r="DD1285" s="26">
        <v>0.44</v>
      </c>
      <c r="DE1285" s="26" t="s">
        <v>1027</v>
      </c>
      <c r="FT1285" s="26">
        <v>59</v>
      </c>
    </row>
    <row r="1286" spans="1:176" s="26" customFormat="1" x14ac:dyDescent="0.25">
      <c r="A1286" s="26">
        <v>59</v>
      </c>
      <c r="B1286" s="26" t="s">
        <v>991</v>
      </c>
      <c r="C1286" s="26" t="s">
        <v>992</v>
      </c>
      <c r="D1286" s="26">
        <v>1997</v>
      </c>
      <c r="E1286" s="26">
        <v>1995</v>
      </c>
      <c r="F1286" s="26" t="s">
        <v>993</v>
      </c>
      <c r="G1286" s="26" t="s">
        <v>1020</v>
      </c>
      <c r="H1286" s="26">
        <v>38.92</v>
      </c>
      <c r="I1286" s="26">
        <v>-76.150000000000006</v>
      </c>
      <c r="J1286" s="26">
        <v>5</v>
      </c>
      <c r="M1286" s="26">
        <v>755</v>
      </c>
      <c r="P1286" s="52">
        <v>9</v>
      </c>
      <c r="Q1286" s="52" t="s">
        <v>994</v>
      </c>
      <c r="R1286" s="52"/>
      <c r="S1286" s="52" t="s">
        <v>1565</v>
      </c>
      <c r="T1286" s="52" t="s">
        <v>1565</v>
      </c>
      <c r="U1286" s="52" t="s">
        <v>1593</v>
      </c>
      <c r="V1286" s="52" t="s">
        <v>1908</v>
      </c>
      <c r="W1286" s="26">
        <v>1.5</v>
      </c>
      <c r="Z1286" s="26" t="s">
        <v>531</v>
      </c>
      <c r="AD1286" s="26" t="s">
        <v>1510</v>
      </c>
      <c r="AE1286" s="26" t="s">
        <v>159</v>
      </c>
      <c r="AF1286" s="152" t="s">
        <v>159</v>
      </c>
      <c r="AG1286" s="26" t="s">
        <v>160</v>
      </c>
      <c r="AH1286" s="154" t="s">
        <v>160</v>
      </c>
      <c r="AL1286" s="26" t="s">
        <v>188</v>
      </c>
      <c r="AM1286" s="26" t="s">
        <v>188</v>
      </c>
      <c r="AN1286" s="26" t="s">
        <v>212</v>
      </c>
      <c r="AO1286" s="26" t="s">
        <v>1022</v>
      </c>
      <c r="AP1286" s="26" t="s">
        <v>1022</v>
      </c>
      <c r="AQ1286" s="26" t="s">
        <v>212</v>
      </c>
      <c r="AR1286" s="26" t="s">
        <v>147</v>
      </c>
      <c r="AS1286" s="26">
        <v>4</v>
      </c>
      <c r="AT1286" s="26">
        <v>4</v>
      </c>
      <c r="AU1286" s="26" t="s">
        <v>379</v>
      </c>
      <c r="AW1286" s="26">
        <v>3645</v>
      </c>
      <c r="AX1286" s="26">
        <v>61.570945945945944</v>
      </c>
      <c r="DC1286" s="26">
        <v>20.45</v>
      </c>
      <c r="DD1286" s="26">
        <v>0.31</v>
      </c>
      <c r="DE1286" s="26" t="s">
        <v>1027</v>
      </c>
      <c r="FT1286" s="26">
        <v>59</v>
      </c>
    </row>
    <row r="1287" spans="1:176" s="26" customFormat="1" x14ac:dyDescent="0.25">
      <c r="A1287" s="26">
        <v>59</v>
      </c>
      <c r="B1287" s="26" t="s">
        <v>991</v>
      </c>
      <c r="C1287" s="26" t="s">
        <v>992</v>
      </c>
      <c r="D1287" s="26">
        <v>1997</v>
      </c>
      <c r="E1287" s="26">
        <v>1995</v>
      </c>
      <c r="F1287" s="26" t="s">
        <v>993</v>
      </c>
      <c r="G1287" s="26" t="s">
        <v>1020</v>
      </c>
      <c r="H1287" s="26">
        <v>38.92</v>
      </c>
      <c r="I1287" s="26">
        <v>-76.150000000000006</v>
      </c>
      <c r="J1287" s="26">
        <v>5</v>
      </c>
      <c r="M1287" s="26">
        <v>755</v>
      </c>
      <c r="P1287" s="52">
        <v>9</v>
      </c>
      <c r="Q1287" s="52" t="s">
        <v>994</v>
      </c>
      <c r="R1287" s="52"/>
      <c r="S1287" s="52" t="s">
        <v>1565</v>
      </c>
      <c r="T1287" s="52" t="s">
        <v>1565</v>
      </c>
      <c r="U1287" s="52" t="s">
        <v>1593</v>
      </c>
      <c r="V1287" s="52" t="s">
        <v>1908</v>
      </c>
      <c r="W1287" s="26">
        <v>1.5</v>
      </c>
      <c r="Z1287" s="26" t="s">
        <v>531</v>
      </c>
      <c r="AD1287" s="26" t="s">
        <v>1510</v>
      </c>
      <c r="AE1287" s="26" t="s">
        <v>159</v>
      </c>
      <c r="AF1287" s="152" t="s">
        <v>159</v>
      </c>
      <c r="AG1287" s="26" t="s">
        <v>160</v>
      </c>
      <c r="AH1287" s="154" t="s">
        <v>160</v>
      </c>
      <c r="AL1287" s="26" t="s">
        <v>188</v>
      </c>
      <c r="AM1287" s="26" t="s">
        <v>188</v>
      </c>
      <c r="AN1287" s="26" t="s">
        <v>212</v>
      </c>
      <c r="AO1287" s="26" t="s">
        <v>1022</v>
      </c>
      <c r="AP1287" s="26" t="s">
        <v>1022</v>
      </c>
      <c r="AQ1287" s="26" t="s">
        <v>212</v>
      </c>
      <c r="AR1287" s="26" t="s">
        <v>147</v>
      </c>
      <c r="AS1287" s="26">
        <v>4</v>
      </c>
      <c r="AT1287" s="26">
        <v>4</v>
      </c>
      <c r="AU1287" s="26" t="s">
        <v>379</v>
      </c>
      <c r="AW1287" s="26">
        <v>3645</v>
      </c>
      <c r="AX1287" s="26">
        <v>61.570945945945944</v>
      </c>
      <c r="DC1287" s="26">
        <v>14.45</v>
      </c>
      <c r="DD1287" s="26">
        <v>0.21</v>
      </c>
      <c r="DE1287" s="26" t="s">
        <v>1027</v>
      </c>
      <c r="FT1287" s="26">
        <v>59</v>
      </c>
    </row>
    <row r="1288" spans="1:176" s="26" customFormat="1" x14ac:dyDescent="0.25">
      <c r="A1288" s="26">
        <v>59</v>
      </c>
      <c r="B1288" s="26" t="s">
        <v>991</v>
      </c>
      <c r="C1288" s="26" t="s">
        <v>992</v>
      </c>
      <c r="D1288" s="26">
        <v>1997</v>
      </c>
      <c r="E1288" s="26">
        <v>1995</v>
      </c>
      <c r="F1288" s="26" t="s">
        <v>993</v>
      </c>
      <c r="G1288" s="26" t="s">
        <v>1020</v>
      </c>
      <c r="H1288" s="26">
        <v>38.92</v>
      </c>
      <c r="I1288" s="26">
        <v>-76.150000000000006</v>
      </c>
      <c r="J1288" s="26">
        <v>5</v>
      </c>
      <c r="M1288" s="26">
        <v>755</v>
      </c>
      <c r="P1288" s="52">
        <v>9</v>
      </c>
      <c r="Q1288" s="52" t="s">
        <v>994</v>
      </c>
      <c r="R1288" s="52"/>
      <c r="S1288" s="52" t="s">
        <v>1565</v>
      </c>
      <c r="T1288" s="52" t="s">
        <v>1565</v>
      </c>
      <c r="U1288" s="52" t="s">
        <v>1593</v>
      </c>
      <c r="V1288" s="52" t="s">
        <v>1908</v>
      </c>
      <c r="W1288" s="26">
        <v>1.5</v>
      </c>
      <c r="Z1288" s="26" t="s">
        <v>531</v>
      </c>
      <c r="AD1288" s="26" t="s">
        <v>1510</v>
      </c>
      <c r="AE1288" s="26" t="s">
        <v>159</v>
      </c>
      <c r="AF1288" s="152" t="s">
        <v>159</v>
      </c>
      <c r="AG1288" s="26" t="s">
        <v>160</v>
      </c>
      <c r="AH1288" s="154" t="s">
        <v>160</v>
      </c>
      <c r="AL1288" s="26" t="s">
        <v>188</v>
      </c>
      <c r="AM1288" s="26" t="s">
        <v>188</v>
      </c>
      <c r="AN1288" s="26" t="s">
        <v>212</v>
      </c>
      <c r="AO1288" s="26" t="s">
        <v>1022</v>
      </c>
      <c r="AP1288" s="26" t="s">
        <v>1022</v>
      </c>
      <c r="AQ1288" s="26" t="s">
        <v>212</v>
      </c>
      <c r="AR1288" s="26" t="s">
        <v>147</v>
      </c>
      <c r="AS1288" s="26">
        <v>4</v>
      </c>
      <c r="AT1288" s="26">
        <v>4</v>
      </c>
      <c r="AU1288" s="26" t="s">
        <v>379</v>
      </c>
      <c r="AW1288" s="26">
        <v>3645</v>
      </c>
      <c r="AX1288" s="26">
        <v>61.570945945945944</v>
      </c>
      <c r="DC1288" s="26">
        <v>9.17</v>
      </c>
      <c r="DD1288" s="26">
        <v>0.1</v>
      </c>
      <c r="DE1288" s="26" t="s">
        <v>1027</v>
      </c>
      <c r="FT1288" s="26">
        <v>59</v>
      </c>
    </row>
    <row r="1289" spans="1:176" s="26" customFormat="1" x14ac:dyDescent="0.25">
      <c r="A1289" s="26">
        <v>59</v>
      </c>
      <c r="B1289" s="26" t="s">
        <v>991</v>
      </c>
      <c r="C1289" s="26" t="s">
        <v>992</v>
      </c>
      <c r="D1289" s="26">
        <v>1997</v>
      </c>
      <c r="E1289" s="26">
        <v>1995</v>
      </c>
      <c r="F1289" s="26" t="s">
        <v>993</v>
      </c>
      <c r="G1289" s="26" t="s">
        <v>1020</v>
      </c>
      <c r="H1289" s="26">
        <v>38.92</v>
      </c>
      <c r="I1289" s="26">
        <v>-76.150000000000006</v>
      </c>
      <c r="J1289" s="26">
        <v>5</v>
      </c>
      <c r="M1289" s="26">
        <v>755</v>
      </c>
      <c r="P1289" s="52">
        <v>9</v>
      </c>
      <c r="Q1289" s="52" t="s">
        <v>994</v>
      </c>
      <c r="R1289" s="52"/>
      <c r="S1289" s="52" t="s">
        <v>1565</v>
      </c>
      <c r="T1289" s="52" t="s">
        <v>1565</v>
      </c>
      <c r="U1289" s="52" t="s">
        <v>1593</v>
      </c>
      <c r="V1289" s="52" t="s">
        <v>1908</v>
      </c>
      <c r="W1289" s="26">
        <v>1.5</v>
      </c>
      <c r="Z1289" s="26" t="s">
        <v>531</v>
      </c>
      <c r="AD1289" s="26" t="s">
        <v>1510</v>
      </c>
      <c r="AE1289" s="26" t="s">
        <v>159</v>
      </c>
      <c r="AF1289" s="152" t="s">
        <v>159</v>
      </c>
      <c r="AG1289" s="26" t="s">
        <v>160</v>
      </c>
      <c r="AH1289" s="154" t="s">
        <v>160</v>
      </c>
      <c r="AL1289" s="26" t="s">
        <v>188</v>
      </c>
      <c r="AM1289" s="26" t="s">
        <v>188</v>
      </c>
      <c r="AN1289" s="26" t="s">
        <v>212</v>
      </c>
      <c r="AO1289" s="26" t="s">
        <v>1022</v>
      </c>
      <c r="AP1289" s="26" t="s">
        <v>1022</v>
      </c>
      <c r="AQ1289" s="26" t="s">
        <v>212</v>
      </c>
      <c r="AR1289" s="26" t="s">
        <v>147</v>
      </c>
      <c r="AS1289" s="26">
        <v>4</v>
      </c>
      <c r="AT1289" s="26">
        <v>4</v>
      </c>
      <c r="AU1289" s="26" t="s">
        <v>379</v>
      </c>
      <c r="AW1289" s="26">
        <v>3645</v>
      </c>
      <c r="AX1289" s="26">
        <v>61.570945945945944</v>
      </c>
      <c r="DC1289" s="26">
        <v>12.47</v>
      </c>
      <c r="DD1289" s="26">
        <v>0.56000000000000005</v>
      </c>
      <c r="DE1289" s="26" t="s">
        <v>1027</v>
      </c>
      <c r="FT1289" s="26">
        <v>59</v>
      </c>
    </row>
    <row r="1290" spans="1:176" s="26" customFormat="1" x14ac:dyDescent="0.25">
      <c r="A1290" s="26">
        <v>59</v>
      </c>
      <c r="B1290" s="26" t="s">
        <v>991</v>
      </c>
      <c r="C1290" s="26" t="s">
        <v>992</v>
      </c>
      <c r="D1290" s="26">
        <v>1997</v>
      </c>
      <c r="E1290" s="26">
        <v>1995</v>
      </c>
      <c r="F1290" s="26" t="s">
        <v>993</v>
      </c>
      <c r="G1290" s="26" t="s">
        <v>1020</v>
      </c>
      <c r="H1290" s="26">
        <v>38.92</v>
      </c>
      <c r="I1290" s="26">
        <v>-76.150000000000006</v>
      </c>
      <c r="J1290" s="26">
        <v>5</v>
      </c>
      <c r="M1290" s="26">
        <v>755</v>
      </c>
      <c r="P1290" s="52">
        <v>9</v>
      </c>
      <c r="Q1290" s="52" t="s">
        <v>994</v>
      </c>
      <c r="R1290" s="52"/>
      <c r="S1290" s="52" t="s">
        <v>1565</v>
      </c>
      <c r="T1290" s="52" t="s">
        <v>1565</v>
      </c>
      <c r="U1290" s="52" t="s">
        <v>1593</v>
      </c>
      <c r="V1290" s="52" t="s">
        <v>1908</v>
      </c>
      <c r="W1290" s="26">
        <v>1.5</v>
      </c>
      <c r="Z1290" s="26" t="s">
        <v>531</v>
      </c>
      <c r="AD1290" s="26" t="s">
        <v>1510</v>
      </c>
      <c r="AE1290" s="26" t="s">
        <v>159</v>
      </c>
      <c r="AF1290" s="152" t="s">
        <v>159</v>
      </c>
      <c r="AG1290" s="26" t="s">
        <v>160</v>
      </c>
      <c r="AH1290" s="154" t="s">
        <v>160</v>
      </c>
      <c r="AL1290" s="26" t="s">
        <v>188</v>
      </c>
      <c r="AM1290" s="26" t="s">
        <v>188</v>
      </c>
      <c r="AN1290" s="26" t="s">
        <v>212</v>
      </c>
      <c r="AO1290" s="26" t="s">
        <v>1022</v>
      </c>
      <c r="AP1290" s="26" t="s">
        <v>1022</v>
      </c>
      <c r="AQ1290" s="26" t="s">
        <v>212</v>
      </c>
      <c r="AR1290" s="26" t="s">
        <v>147</v>
      </c>
      <c r="AS1290" s="26">
        <v>4</v>
      </c>
      <c r="AT1290" s="26">
        <v>4</v>
      </c>
      <c r="AU1290" s="26" t="s">
        <v>379</v>
      </c>
      <c r="AW1290" s="26">
        <v>3645</v>
      </c>
      <c r="AX1290" s="26">
        <v>61.570945945945944</v>
      </c>
      <c r="DC1290" s="26">
        <v>12.86</v>
      </c>
      <c r="DD1290" s="26">
        <v>1.23</v>
      </c>
      <c r="DE1290" s="26" t="s">
        <v>1027</v>
      </c>
      <c r="FT1290" s="26">
        <v>59</v>
      </c>
    </row>
    <row r="1291" spans="1:176" s="25" customFormat="1" x14ac:dyDescent="0.25">
      <c r="A1291" s="25">
        <v>59</v>
      </c>
      <c r="B1291" s="25" t="s">
        <v>991</v>
      </c>
      <c r="C1291" s="25" t="s">
        <v>992</v>
      </c>
      <c r="D1291" s="25">
        <v>1997</v>
      </c>
      <c r="E1291" s="25">
        <v>1988</v>
      </c>
      <c r="F1291" s="25" t="s">
        <v>993</v>
      </c>
      <c r="G1291" s="25" t="s">
        <v>1020</v>
      </c>
      <c r="H1291" s="25">
        <v>38.92</v>
      </c>
      <c r="I1291" s="25">
        <v>-76.150000000000006</v>
      </c>
      <c r="J1291" s="25">
        <v>5</v>
      </c>
      <c r="M1291" s="25">
        <v>866</v>
      </c>
      <c r="P1291" s="101">
        <v>2</v>
      </c>
      <c r="Q1291" s="101" t="s">
        <v>994</v>
      </c>
      <c r="R1291" s="101" t="s">
        <v>1029</v>
      </c>
      <c r="S1291" s="101" t="s">
        <v>1586</v>
      </c>
      <c r="T1291" s="101" t="s">
        <v>1565</v>
      </c>
      <c r="U1291" s="101" t="s">
        <v>1593</v>
      </c>
      <c r="V1291" s="101" t="s">
        <v>1912</v>
      </c>
      <c r="W1291" s="25">
        <v>1.5</v>
      </c>
      <c r="Z1291" s="25" t="s">
        <v>531</v>
      </c>
      <c r="AD1291" s="25" t="s">
        <v>1510</v>
      </c>
      <c r="AE1291" s="25" t="s">
        <v>159</v>
      </c>
      <c r="AF1291" s="152" t="s">
        <v>159</v>
      </c>
      <c r="AG1291" s="25" t="s">
        <v>160</v>
      </c>
      <c r="AH1291" s="154" t="s">
        <v>160</v>
      </c>
      <c r="AL1291" s="25" t="s">
        <v>269</v>
      </c>
      <c r="AM1291" s="25" t="s">
        <v>269</v>
      </c>
      <c r="AN1291" s="25" t="s">
        <v>212</v>
      </c>
      <c r="AO1291" s="25" t="s">
        <v>1022</v>
      </c>
      <c r="AP1291" s="25" t="s">
        <v>1022</v>
      </c>
      <c r="AQ1291" s="25" t="s">
        <v>212</v>
      </c>
      <c r="AR1291" s="25" t="s">
        <v>147</v>
      </c>
      <c r="AS1291" s="25">
        <v>4</v>
      </c>
      <c r="AT1291" s="25">
        <v>4</v>
      </c>
      <c r="AU1291" s="25" t="s">
        <v>379</v>
      </c>
      <c r="BM1291" s="25">
        <v>6.96</v>
      </c>
      <c r="BN1291" s="25">
        <v>6.96</v>
      </c>
      <c r="BO1291" s="25" t="s">
        <v>1860</v>
      </c>
      <c r="FT1291" s="25">
        <v>59</v>
      </c>
    </row>
    <row r="1292" spans="1:176" s="25" customFormat="1" x14ac:dyDescent="0.25">
      <c r="A1292" s="25">
        <v>59</v>
      </c>
      <c r="B1292" s="25" t="s">
        <v>991</v>
      </c>
      <c r="C1292" s="25" t="s">
        <v>992</v>
      </c>
      <c r="D1292" s="25">
        <v>1997</v>
      </c>
      <c r="E1292" s="25">
        <v>1989</v>
      </c>
      <c r="F1292" s="25" t="s">
        <v>993</v>
      </c>
      <c r="G1292" s="25" t="s">
        <v>1020</v>
      </c>
      <c r="H1292" s="25">
        <v>38.92</v>
      </c>
      <c r="I1292" s="25">
        <v>-76.150000000000006</v>
      </c>
      <c r="J1292" s="25">
        <v>5</v>
      </c>
      <c r="M1292" s="25">
        <v>1300</v>
      </c>
      <c r="P1292" s="101">
        <v>3</v>
      </c>
      <c r="Q1292" s="101" t="s">
        <v>994</v>
      </c>
      <c r="R1292" s="101" t="s">
        <v>1028</v>
      </c>
      <c r="S1292" s="101" t="s">
        <v>1586</v>
      </c>
      <c r="T1292" s="101" t="s">
        <v>1565</v>
      </c>
      <c r="U1292" s="101" t="s">
        <v>1593</v>
      </c>
      <c r="V1292" s="101" t="s">
        <v>1912</v>
      </c>
      <c r="W1292" s="25">
        <v>1.5</v>
      </c>
      <c r="Z1292" s="25" t="s">
        <v>531</v>
      </c>
      <c r="AD1292" s="25" t="s">
        <v>1510</v>
      </c>
      <c r="AE1292" s="25" t="s">
        <v>159</v>
      </c>
      <c r="AF1292" s="152" t="s">
        <v>159</v>
      </c>
      <c r="AG1292" s="25" t="s">
        <v>160</v>
      </c>
      <c r="AH1292" s="154" t="s">
        <v>160</v>
      </c>
      <c r="AL1292" s="25" t="s">
        <v>269</v>
      </c>
      <c r="AM1292" s="25" t="s">
        <v>269</v>
      </c>
      <c r="AN1292" s="25" t="s">
        <v>212</v>
      </c>
      <c r="AO1292" s="25" t="s">
        <v>1022</v>
      </c>
      <c r="AP1292" s="25" t="s">
        <v>1022</v>
      </c>
      <c r="AQ1292" s="25" t="s">
        <v>212</v>
      </c>
      <c r="AR1292" s="25" t="s">
        <v>147</v>
      </c>
      <c r="AS1292" s="25">
        <v>4</v>
      </c>
      <c r="AT1292" s="25">
        <v>4</v>
      </c>
      <c r="AU1292" s="25" t="s">
        <v>379</v>
      </c>
      <c r="BM1292" s="25">
        <v>4.62</v>
      </c>
      <c r="BN1292" s="25">
        <v>0.77</v>
      </c>
      <c r="BO1292" s="25" t="s">
        <v>1860</v>
      </c>
      <c r="FT1292" s="25">
        <v>59</v>
      </c>
    </row>
    <row r="1293" spans="1:176" s="25" customFormat="1" x14ac:dyDescent="0.25">
      <c r="A1293" s="25">
        <v>59</v>
      </c>
      <c r="B1293" s="25" t="s">
        <v>991</v>
      </c>
      <c r="C1293" s="25" t="s">
        <v>992</v>
      </c>
      <c r="D1293" s="25">
        <v>1997</v>
      </c>
      <c r="E1293" s="25">
        <v>1989</v>
      </c>
      <c r="F1293" s="25" t="s">
        <v>993</v>
      </c>
      <c r="G1293" s="25" t="s">
        <v>1020</v>
      </c>
      <c r="H1293" s="25">
        <v>38.92</v>
      </c>
      <c r="I1293" s="25">
        <v>-76.150000000000006</v>
      </c>
      <c r="J1293" s="25">
        <v>5</v>
      </c>
      <c r="M1293" s="25">
        <v>1300</v>
      </c>
      <c r="P1293" s="101">
        <v>3</v>
      </c>
      <c r="Q1293" s="101" t="s">
        <v>994</v>
      </c>
      <c r="R1293" s="101" t="s">
        <v>1029</v>
      </c>
      <c r="S1293" s="101" t="s">
        <v>1586</v>
      </c>
      <c r="T1293" s="101" t="s">
        <v>1565</v>
      </c>
      <c r="U1293" s="101" t="s">
        <v>1593</v>
      </c>
      <c r="V1293" s="101" t="s">
        <v>1912</v>
      </c>
      <c r="W1293" s="25">
        <v>1.5</v>
      </c>
      <c r="Z1293" s="25" t="s">
        <v>531</v>
      </c>
      <c r="AD1293" s="25" t="s">
        <v>1510</v>
      </c>
      <c r="AE1293" s="25" t="s">
        <v>159</v>
      </c>
      <c r="AF1293" s="152" t="s">
        <v>159</v>
      </c>
      <c r="AG1293" s="25" t="s">
        <v>160</v>
      </c>
      <c r="AH1293" s="154" t="s">
        <v>160</v>
      </c>
      <c r="AL1293" s="25" t="s">
        <v>269</v>
      </c>
      <c r="AM1293" s="25" t="s">
        <v>269</v>
      </c>
      <c r="AN1293" s="25" t="s">
        <v>212</v>
      </c>
      <c r="AO1293" s="25" t="s">
        <v>1022</v>
      </c>
      <c r="AP1293" s="25" t="s">
        <v>1022</v>
      </c>
      <c r="AQ1293" s="25" t="s">
        <v>212</v>
      </c>
      <c r="AR1293" s="25" t="s">
        <v>147</v>
      </c>
      <c r="AS1293" s="25">
        <v>4</v>
      </c>
      <c r="AT1293" s="25">
        <v>4</v>
      </c>
      <c r="AU1293" s="25" t="s">
        <v>379</v>
      </c>
      <c r="BM1293" s="25">
        <v>4.3</v>
      </c>
      <c r="BN1293" s="25">
        <v>1.06</v>
      </c>
      <c r="BO1293" s="25" t="s">
        <v>1860</v>
      </c>
      <c r="FT1293" s="25">
        <v>59</v>
      </c>
    </row>
    <row r="1294" spans="1:176" s="25" customFormat="1" x14ac:dyDescent="0.25">
      <c r="A1294" s="25">
        <v>59</v>
      </c>
      <c r="B1294" s="25" t="s">
        <v>991</v>
      </c>
      <c r="C1294" s="25" t="s">
        <v>992</v>
      </c>
      <c r="D1294" s="25">
        <v>1997</v>
      </c>
      <c r="E1294" s="25">
        <v>1990</v>
      </c>
      <c r="F1294" s="25" t="s">
        <v>993</v>
      </c>
      <c r="G1294" s="25" t="s">
        <v>1020</v>
      </c>
      <c r="H1294" s="25">
        <v>38.92</v>
      </c>
      <c r="I1294" s="25">
        <v>-76.150000000000006</v>
      </c>
      <c r="J1294" s="25">
        <v>5</v>
      </c>
      <c r="M1294" s="25">
        <v>1007</v>
      </c>
      <c r="P1294" s="101">
        <v>4</v>
      </c>
      <c r="Q1294" s="101" t="s">
        <v>994</v>
      </c>
      <c r="R1294" s="101" t="s">
        <v>1028</v>
      </c>
      <c r="S1294" s="101" t="s">
        <v>1586</v>
      </c>
      <c r="T1294" s="101" t="s">
        <v>1565</v>
      </c>
      <c r="U1294" s="101" t="s">
        <v>1593</v>
      </c>
      <c r="V1294" s="101" t="s">
        <v>1912</v>
      </c>
      <c r="W1294" s="25">
        <v>1.5</v>
      </c>
      <c r="Z1294" s="25" t="s">
        <v>531</v>
      </c>
      <c r="AD1294" s="25" t="s">
        <v>1510</v>
      </c>
      <c r="AE1294" s="25" t="s">
        <v>159</v>
      </c>
      <c r="AF1294" s="152" t="s">
        <v>159</v>
      </c>
      <c r="AG1294" s="25" t="s">
        <v>160</v>
      </c>
      <c r="AH1294" s="154" t="s">
        <v>160</v>
      </c>
      <c r="AL1294" s="25" t="s">
        <v>269</v>
      </c>
      <c r="AM1294" s="25" t="s">
        <v>269</v>
      </c>
      <c r="AN1294" s="25" t="s">
        <v>212</v>
      </c>
      <c r="AO1294" s="25" t="s">
        <v>1022</v>
      </c>
      <c r="AP1294" s="25" t="s">
        <v>1022</v>
      </c>
      <c r="AQ1294" s="25" t="s">
        <v>212</v>
      </c>
      <c r="AR1294" s="25" t="s">
        <v>147</v>
      </c>
      <c r="AS1294" s="25">
        <v>4</v>
      </c>
      <c r="AT1294" s="25">
        <v>4</v>
      </c>
      <c r="AU1294" s="25" t="s">
        <v>379</v>
      </c>
      <c r="AW1294" s="25">
        <v>4048</v>
      </c>
      <c r="AX1294" s="25">
        <f>AW1294/85</f>
        <v>47.623529411764707</v>
      </c>
      <c r="BM1294" s="25">
        <v>3.68</v>
      </c>
      <c r="BN1294" s="25">
        <v>0.9</v>
      </c>
      <c r="BO1294" s="25" t="s">
        <v>1860</v>
      </c>
      <c r="FT1294" s="25">
        <v>59</v>
      </c>
    </row>
    <row r="1295" spans="1:176" s="25" customFormat="1" x14ac:dyDescent="0.25">
      <c r="A1295" s="25">
        <v>59</v>
      </c>
      <c r="B1295" s="25" t="s">
        <v>991</v>
      </c>
      <c r="C1295" s="25" t="s">
        <v>992</v>
      </c>
      <c r="D1295" s="25">
        <v>1997</v>
      </c>
      <c r="E1295" s="25">
        <v>1990</v>
      </c>
      <c r="F1295" s="25" t="s">
        <v>993</v>
      </c>
      <c r="G1295" s="25" t="s">
        <v>1020</v>
      </c>
      <c r="H1295" s="25">
        <v>38.92</v>
      </c>
      <c r="I1295" s="25">
        <v>-76.150000000000006</v>
      </c>
      <c r="J1295" s="25">
        <v>5</v>
      </c>
      <c r="M1295" s="25">
        <v>1007</v>
      </c>
      <c r="P1295" s="101">
        <v>4</v>
      </c>
      <c r="Q1295" s="101" t="s">
        <v>994</v>
      </c>
      <c r="R1295" s="101" t="s">
        <v>1029</v>
      </c>
      <c r="S1295" s="101" t="s">
        <v>1586</v>
      </c>
      <c r="T1295" s="101" t="s">
        <v>1565</v>
      </c>
      <c r="U1295" s="101" t="s">
        <v>1593</v>
      </c>
      <c r="V1295" s="101" t="s">
        <v>1912</v>
      </c>
      <c r="W1295" s="25">
        <v>1.5</v>
      </c>
      <c r="Z1295" s="25" t="s">
        <v>531</v>
      </c>
      <c r="AD1295" s="25" t="s">
        <v>1510</v>
      </c>
      <c r="AE1295" s="25" t="s">
        <v>159</v>
      </c>
      <c r="AF1295" s="152" t="s">
        <v>159</v>
      </c>
      <c r="AG1295" s="25" t="s">
        <v>160</v>
      </c>
      <c r="AH1295" s="154" t="s">
        <v>160</v>
      </c>
      <c r="AL1295" s="25" t="s">
        <v>269</v>
      </c>
      <c r="AM1295" s="25" t="s">
        <v>269</v>
      </c>
      <c r="AN1295" s="25" t="s">
        <v>212</v>
      </c>
      <c r="AO1295" s="25" t="s">
        <v>1022</v>
      </c>
      <c r="AP1295" s="25" t="s">
        <v>1022</v>
      </c>
      <c r="AQ1295" s="25" t="s">
        <v>212</v>
      </c>
      <c r="AR1295" s="25" t="s">
        <v>147</v>
      </c>
      <c r="AS1295" s="25">
        <v>4</v>
      </c>
      <c r="AT1295" s="25">
        <v>4</v>
      </c>
      <c r="AU1295" s="25" t="s">
        <v>379</v>
      </c>
      <c r="AW1295" s="25">
        <v>4048</v>
      </c>
      <c r="AX1295" s="25">
        <f>AW1295/85</f>
        <v>47.623529411764707</v>
      </c>
      <c r="BM1295" s="25">
        <v>2.2799999999999998</v>
      </c>
      <c r="BN1295" s="25">
        <v>1.44</v>
      </c>
      <c r="BO1295" s="25" t="s">
        <v>1860</v>
      </c>
      <c r="FT1295" s="25">
        <v>59</v>
      </c>
    </row>
    <row r="1296" spans="1:176" s="25" customFormat="1" x14ac:dyDescent="0.25">
      <c r="A1296" s="25">
        <v>59</v>
      </c>
      <c r="B1296" s="25" t="s">
        <v>991</v>
      </c>
      <c r="C1296" s="25" t="s">
        <v>992</v>
      </c>
      <c r="D1296" s="25">
        <v>1997</v>
      </c>
      <c r="E1296" s="25">
        <v>1991</v>
      </c>
      <c r="F1296" s="25" t="s">
        <v>993</v>
      </c>
      <c r="G1296" s="25" t="s">
        <v>1020</v>
      </c>
      <c r="H1296" s="25">
        <v>38.92</v>
      </c>
      <c r="I1296" s="25">
        <v>-76.150000000000006</v>
      </c>
      <c r="J1296" s="25">
        <v>5</v>
      </c>
      <c r="M1296" s="25">
        <v>997</v>
      </c>
      <c r="P1296" s="101">
        <v>5</v>
      </c>
      <c r="Q1296" s="101" t="s">
        <v>994</v>
      </c>
      <c r="R1296" s="101" t="s">
        <v>1028</v>
      </c>
      <c r="S1296" s="101" t="s">
        <v>1586</v>
      </c>
      <c r="T1296" s="101" t="s">
        <v>1565</v>
      </c>
      <c r="U1296" s="101" t="s">
        <v>1593</v>
      </c>
      <c r="V1296" s="101" t="s">
        <v>1912</v>
      </c>
      <c r="W1296" s="25">
        <v>1.5</v>
      </c>
      <c r="Z1296" s="25" t="s">
        <v>531</v>
      </c>
      <c r="AD1296" s="25" t="s">
        <v>1510</v>
      </c>
      <c r="AE1296" s="25" t="s">
        <v>159</v>
      </c>
      <c r="AF1296" s="152" t="s">
        <v>159</v>
      </c>
      <c r="AG1296" s="25" t="s">
        <v>160</v>
      </c>
      <c r="AH1296" s="154" t="s">
        <v>160</v>
      </c>
      <c r="AL1296" s="25" t="s">
        <v>269</v>
      </c>
      <c r="AM1296" s="25" t="s">
        <v>269</v>
      </c>
      <c r="AN1296" s="25" t="s">
        <v>212</v>
      </c>
      <c r="AO1296" s="25" t="s">
        <v>1022</v>
      </c>
      <c r="AP1296" s="25" t="s">
        <v>1022</v>
      </c>
      <c r="AQ1296" s="25" t="s">
        <v>212</v>
      </c>
      <c r="AR1296" s="25" t="s">
        <v>147</v>
      </c>
      <c r="AS1296" s="25">
        <v>4</v>
      </c>
      <c r="AT1296" s="25">
        <v>4</v>
      </c>
      <c r="AU1296" s="25" t="s">
        <v>379</v>
      </c>
      <c r="AW1296" s="25">
        <v>1793</v>
      </c>
      <c r="AX1296" s="25">
        <f>AW1296/25.9</f>
        <v>69.227799227799238</v>
      </c>
      <c r="BM1296" s="25">
        <v>4.57</v>
      </c>
      <c r="BN1296" s="25">
        <v>0.32</v>
      </c>
      <c r="BO1296" s="25" t="s">
        <v>1860</v>
      </c>
      <c r="FT1296" s="25">
        <v>59</v>
      </c>
    </row>
    <row r="1297" spans="1:176" s="25" customFormat="1" x14ac:dyDescent="0.25">
      <c r="A1297" s="25">
        <v>59</v>
      </c>
      <c r="B1297" s="25" t="s">
        <v>991</v>
      </c>
      <c r="C1297" s="25" t="s">
        <v>992</v>
      </c>
      <c r="D1297" s="25">
        <v>1997</v>
      </c>
      <c r="E1297" s="25">
        <v>1991</v>
      </c>
      <c r="F1297" s="25" t="s">
        <v>993</v>
      </c>
      <c r="G1297" s="25" t="s">
        <v>1020</v>
      </c>
      <c r="H1297" s="25">
        <v>38.92</v>
      </c>
      <c r="I1297" s="25">
        <v>-76.150000000000006</v>
      </c>
      <c r="J1297" s="25">
        <v>5</v>
      </c>
      <c r="M1297" s="25">
        <v>997</v>
      </c>
      <c r="P1297" s="101">
        <v>5</v>
      </c>
      <c r="Q1297" s="101" t="s">
        <v>994</v>
      </c>
      <c r="R1297" s="101" t="s">
        <v>1029</v>
      </c>
      <c r="S1297" s="101" t="s">
        <v>1586</v>
      </c>
      <c r="T1297" s="101" t="s">
        <v>1565</v>
      </c>
      <c r="U1297" s="101" t="s">
        <v>1593</v>
      </c>
      <c r="V1297" s="101" t="s">
        <v>1912</v>
      </c>
      <c r="W1297" s="25">
        <v>1.5</v>
      </c>
      <c r="Z1297" s="25" t="s">
        <v>531</v>
      </c>
      <c r="AD1297" s="25" t="s">
        <v>1510</v>
      </c>
      <c r="AE1297" s="25" t="s">
        <v>159</v>
      </c>
      <c r="AF1297" s="152" t="s">
        <v>159</v>
      </c>
      <c r="AG1297" s="25" t="s">
        <v>160</v>
      </c>
      <c r="AH1297" s="154" t="s">
        <v>160</v>
      </c>
      <c r="AL1297" s="25" t="s">
        <v>269</v>
      </c>
      <c r="AM1297" s="25" t="s">
        <v>269</v>
      </c>
      <c r="AN1297" s="25" t="s">
        <v>212</v>
      </c>
      <c r="AO1297" s="25" t="s">
        <v>1022</v>
      </c>
      <c r="AP1297" s="25" t="s">
        <v>1022</v>
      </c>
      <c r="AQ1297" s="25" t="s">
        <v>212</v>
      </c>
      <c r="AR1297" s="25" t="s">
        <v>147</v>
      </c>
      <c r="AS1297" s="25">
        <v>4</v>
      </c>
      <c r="AT1297" s="25">
        <v>4</v>
      </c>
      <c r="AU1297" s="25" t="s">
        <v>379</v>
      </c>
      <c r="AW1297" s="25">
        <v>1793</v>
      </c>
      <c r="AX1297" s="25">
        <f>AW1297/25.9</f>
        <v>69.227799227799238</v>
      </c>
      <c r="BM1297" s="25">
        <v>2.2400000000000002</v>
      </c>
      <c r="BN1297" s="25">
        <v>1.68</v>
      </c>
      <c r="BO1297" s="25" t="s">
        <v>1860</v>
      </c>
      <c r="FT1297" s="25">
        <v>59</v>
      </c>
    </row>
    <row r="1298" spans="1:176" s="25" customFormat="1" x14ac:dyDescent="0.25">
      <c r="A1298" s="25">
        <v>59</v>
      </c>
      <c r="B1298" s="25" t="s">
        <v>991</v>
      </c>
      <c r="C1298" s="25" t="s">
        <v>992</v>
      </c>
      <c r="D1298" s="25">
        <v>1997</v>
      </c>
      <c r="E1298" s="25">
        <v>1992</v>
      </c>
      <c r="F1298" s="25" t="s">
        <v>993</v>
      </c>
      <c r="G1298" s="25" t="s">
        <v>1020</v>
      </c>
      <c r="H1298" s="25">
        <v>38.92</v>
      </c>
      <c r="I1298" s="25">
        <v>-76.150000000000006</v>
      </c>
      <c r="J1298" s="25">
        <v>5</v>
      </c>
      <c r="M1298" s="25">
        <v>866</v>
      </c>
      <c r="P1298" s="101">
        <v>6</v>
      </c>
      <c r="Q1298" s="101" t="s">
        <v>994</v>
      </c>
      <c r="R1298" s="101" t="s">
        <v>1028</v>
      </c>
      <c r="S1298" s="101" t="s">
        <v>1586</v>
      </c>
      <c r="T1298" s="101" t="s">
        <v>1565</v>
      </c>
      <c r="U1298" s="101" t="s">
        <v>1593</v>
      </c>
      <c r="V1298" s="101" t="s">
        <v>1912</v>
      </c>
      <c r="W1298" s="25">
        <v>1.5</v>
      </c>
      <c r="Z1298" s="25" t="s">
        <v>531</v>
      </c>
      <c r="AD1298" s="25" t="s">
        <v>1510</v>
      </c>
      <c r="AE1298" s="25" t="s">
        <v>159</v>
      </c>
      <c r="AF1298" s="152" t="s">
        <v>159</v>
      </c>
      <c r="AG1298" s="25" t="s">
        <v>160</v>
      </c>
      <c r="AH1298" s="154" t="s">
        <v>160</v>
      </c>
      <c r="AL1298" s="25" t="s">
        <v>269</v>
      </c>
      <c r="AM1298" s="25" t="s">
        <v>269</v>
      </c>
      <c r="AN1298" s="25" t="s">
        <v>212</v>
      </c>
      <c r="AO1298" s="25" t="s">
        <v>1022</v>
      </c>
      <c r="AP1298" s="25" t="s">
        <v>1022</v>
      </c>
      <c r="AQ1298" s="25" t="s">
        <v>212</v>
      </c>
      <c r="AR1298" s="25" t="s">
        <v>147</v>
      </c>
      <c r="AS1298" s="25">
        <v>4</v>
      </c>
      <c r="AT1298" s="25">
        <v>4</v>
      </c>
      <c r="AU1298" s="25" t="s">
        <v>379</v>
      </c>
      <c r="AW1298" s="25">
        <v>2053</v>
      </c>
      <c r="AX1298" s="25">
        <f>AW1298/40.5</f>
        <v>50.691358024691361</v>
      </c>
      <c r="BM1298" s="25">
        <v>4.51</v>
      </c>
      <c r="BN1298" s="25">
        <v>0.33</v>
      </c>
      <c r="BO1298" s="25" t="s">
        <v>1860</v>
      </c>
      <c r="FT1298" s="25">
        <v>59</v>
      </c>
    </row>
    <row r="1299" spans="1:176" s="25" customFormat="1" x14ac:dyDescent="0.25">
      <c r="A1299" s="25">
        <v>59</v>
      </c>
      <c r="B1299" s="25" t="s">
        <v>991</v>
      </c>
      <c r="C1299" s="25" t="s">
        <v>992</v>
      </c>
      <c r="D1299" s="25">
        <v>1997</v>
      </c>
      <c r="E1299" s="25">
        <v>1992</v>
      </c>
      <c r="F1299" s="25" t="s">
        <v>993</v>
      </c>
      <c r="G1299" s="25" t="s">
        <v>1020</v>
      </c>
      <c r="H1299" s="25">
        <v>38.92</v>
      </c>
      <c r="I1299" s="25">
        <v>-76.150000000000006</v>
      </c>
      <c r="J1299" s="25">
        <v>5</v>
      </c>
      <c r="M1299" s="25">
        <v>866</v>
      </c>
      <c r="P1299" s="101">
        <v>6</v>
      </c>
      <c r="Q1299" s="101" t="s">
        <v>994</v>
      </c>
      <c r="R1299" s="101" t="s">
        <v>1029</v>
      </c>
      <c r="S1299" s="101" t="s">
        <v>1586</v>
      </c>
      <c r="T1299" s="101" t="s">
        <v>1565</v>
      </c>
      <c r="U1299" s="101" t="s">
        <v>1593</v>
      </c>
      <c r="V1299" s="101" t="s">
        <v>1912</v>
      </c>
      <c r="W1299" s="25">
        <v>1.5</v>
      </c>
      <c r="Z1299" s="25" t="s">
        <v>531</v>
      </c>
      <c r="AD1299" s="25" t="s">
        <v>1510</v>
      </c>
      <c r="AE1299" s="25" t="s">
        <v>159</v>
      </c>
      <c r="AF1299" s="152" t="s">
        <v>159</v>
      </c>
      <c r="AG1299" s="25" t="s">
        <v>160</v>
      </c>
      <c r="AH1299" s="154" t="s">
        <v>160</v>
      </c>
      <c r="AL1299" s="25" t="s">
        <v>269</v>
      </c>
      <c r="AM1299" s="25" t="s">
        <v>269</v>
      </c>
      <c r="AN1299" s="25" t="s">
        <v>212</v>
      </c>
      <c r="AO1299" s="25" t="s">
        <v>1022</v>
      </c>
      <c r="AP1299" s="25" t="s">
        <v>1022</v>
      </c>
      <c r="AQ1299" s="25" t="s">
        <v>212</v>
      </c>
      <c r="AR1299" s="25" t="s">
        <v>147</v>
      </c>
      <c r="AS1299" s="25">
        <v>4</v>
      </c>
      <c r="AT1299" s="25">
        <v>4</v>
      </c>
      <c r="AU1299" s="25" t="s">
        <v>379</v>
      </c>
      <c r="AW1299" s="25">
        <v>2053</v>
      </c>
      <c r="AX1299" s="25">
        <f>AW1299/40.5</f>
        <v>50.691358024691361</v>
      </c>
      <c r="BM1299" s="25">
        <v>0.62</v>
      </c>
      <c r="BN1299" s="25">
        <v>0.48</v>
      </c>
      <c r="BO1299" s="25" t="s">
        <v>1860</v>
      </c>
      <c r="FT1299" s="25">
        <v>59</v>
      </c>
    </row>
    <row r="1300" spans="1:176" s="25" customFormat="1" x14ac:dyDescent="0.25">
      <c r="A1300" s="25">
        <v>59</v>
      </c>
      <c r="B1300" s="25" t="s">
        <v>991</v>
      </c>
      <c r="C1300" s="25" t="s">
        <v>992</v>
      </c>
      <c r="D1300" s="25">
        <v>1997</v>
      </c>
      <c r="E1300" s="25">
        <v>1993</v>
      </c>
      <c r="F1300" s="25" t="s">
        <v>993</v>
      </c>
      <c r="G1300" s="25" t="s">
        <v>1020</v>
      </c>
      <c r="H1300" s="25">
        <v>38.92</v>
      </c>
      <c r="I1300" s="25">
        <v>-76.150000000000006</v>
      </c>
      <c r="J1300" s="25">
        <v>5</v>
      </c>
      <c r="M1300" s="25">
        <v>972</v>
      </c>
      <c r="P1300" s="101">
        <v>7</v>
      </c>
      <c r="Q1300" s="101" t="s">
        <v>994</v>
      </c>
      <c r="R1300" s="101" t="s">
        <v>1028</v>
      </c>
      <c r="S1300" s="101" t="s">
        <v>1586</v>
      </c>
      <c r="T1300" s="101" t="s">
        <v>1565</v>
      </c>
      <c r="U1300" s="101" t="s">
        <v>1593</v>
      </c>
      <c r="V1300" s="101" t="s">
        <v>1912</v>
      </c>
      <c r="W1300" s="25">
        <v>1.5</v>
      </c>
      <c r="Z1300" s="25" t="s">
        <v>531</v>
      </c>
      <c r="AD1300" s="25" t="s">
        <v>1510</v>
      </c>
      <c r="AE1300" s="25" t="s">
        <v>159</v>
      </c>
      <c r="AF1300" s="152" t="s">
        <v>159</v>
      </c>
      <c r="AG1300" s="25" t="s">
        <v>160</v>
      </c>
      <c r="AH1300" s="154" t="s">
        <v>160</v>
      </c>
      <c r="AL1300" s="25" t="s">
        <v>269</v>
      </c>
      <c r="AM1300" s="25" t="s">
        <v>269</v>
      </c>
      <c r="AN1300" s="25" t="s">
        <v>212</v>
      </c>
      <c r="AO1300" s="25" t="s">
        <v>1022</v>
      </c>
      <c r="AP1300" s="25" t="s">
        <v>1022</v>
      </c>
      <c r="AQ1300" s="25" t="s">
        <v>212</v>
      </c>
      <c r="AR1300" s="25" t="s">
        <v>147</v>
      </c>
      <c r="AS1300" s="25">
        <v>4</v>
      </c>
      <c r="AT1300" s="25">
        <v>4</v>
      </c>
      <c r="AU1300" s="25" t="s">
        <v>379</v>
      </c>
      <c r="AW1300" s="25">
        <v>1873</v>
      </c>
      <c r="AX1300" s="25">
        <f>AW1300/37.3</f>
        <v>50.21447721179625</v>
      </c>
      <c r="BM1300" s="25">
        <v>0.9</v>
      </c>
      <c r="BN1300" s="25">
        <v>0.26</v>
      </c>
      <c r="BO1300" s="25" t="s">
        <v>1860</v>
      </c>
      <c r="FT1300" s="25">
        <v>59</v>
      </c>
    </row>
    <row r="1301" spans="1:176" s="25" customFormat="1" x14ac:dyDescent="0.25">
      <c r="A1301" s="25">
        <v>59</v>
      </c>
      <c r="B1301" s="25" t="s">
        <v>991</v>
      </c>
      <c r="C1301" s="25" t="s">
        <v>992</v>
      </c>
      <c r="D1301" s="25">
        <v>1997</v>
      </c>
      <c r="E1301" s="25">
        <v>1993</v>
      </c>
      <c r="F1301" s="25" t="s">
        <v>993</v>
      </c>
      <c r="G1301" s="25" t="s">
        <v>1020</v>
      </c>
      <c r="H1301" s="25">
        <v>38.92</v>
      </c>
      <c r="I1301" s="25">
        <v>-76.150000000000006</v>
      </c>
      <c r="J1301" s="25">
        <v>5</v>
      </c>
      <c r="M1301" s="25">
        <v>972</v>
      </c>
      <c r="P1301" s="101">
        <v>7</v>
      </c>
      <c r="Q1301" s="101" t="s">
        <v>994</v>
      </c>
      <c r="R1301" s="101" t="s">
        <v>1029</v>
      </c>
      <c r="S1301" s="101" t="s">
        <v>1586</v>
      </c>
      <c r="T1301" s="101" t="s">
        <v>1565</v>
      </c>
      <c r="U1301" s="101" t="s">
        <v>1593</v>
      </c>
      <c r="V1301" s="101" t="s">
        <v>1912</v>
      </c>
      <c r="W1301" s="25">
        <v>1.5</v>
      </c>
      <c r="Z1301" s="25" t="s">
        <v>531</v>
      </c>
      <c r="AD1301" s="25" t="s">
        <v>1510</v>
      </c>
      <c r="AE1301" s="25" t="s">
        <v>159</v>
      </c>
      <c r="AF1301" s="152" t="s">
        <v>159</v>
      </c>
      <c r="AG1301" s="25" t="s">
        <v>160</v>
      </c>
      <c r="AH1301" s="154" t="s">
        <v>160</v>
      </c>
      <c r="AL1301" s="25" t="s">
        <v>269</v>
      </c>
      <c r="AM1301" s="25" t="s">
        <v>269</v>
      </c>
      <c r="AN1301" s="25" t="s">
        <v>212</v>
      </c>
      <c r="AO1301" s="25" t="s">
        <v>1022</v>
      </c>
      <c r="AP1301" s="25" t="s">
        <v>1022</v>
      </c>
      <c r="AQ1301" s="25" t="s">
        <v>212</v>
      </c>
      <c r="AR1301" s="25" t="s">
        <v>147</v>
      </c>
      <c r="AS1301" s="25">
        <v>4</v>
      </c>
      <c r="AT1301" s="25">
        <v>4</v>
      </c>
      <c r="AU1301" s="25" t="s">
        <v>379</v>
      </c>
      <c r="AW1301" s="25">
        <v>1873</v>
      </c>
      <c r="AX1301" s="25">
        <f>AW1301/37.3</f>
        <v>50.21447721179625</v>
      </c>
      <c r="BM1301" s="25">
        <v>0.39</v>
      </c>
      <c r="BN1301" s="25">
        <v>0.28000000000000003</v>
      </c>
      <c r="BO1301" s="25" t="s">
        <v>1860</v>
      </c>
      <c r="FT1301" s="25">
        <v>59</v>
      </c>
    </row>
    <row r="1302" spans="1:176" s="25" customFormat="1" x14ac:dyDescent="0.25">
      <c r="A1302" s="25">
        <v>59</v>
      </c>
      <c r="B1302" s="25" t="s">
        <v>991</v>
      </c>
      <c r="C1302" s="25" t="s">
        <v>992</v>
      </c>
      <c r="D1302" s="25">
        <v>1997</v>
      </c>
      <c r="E1302" s="25">
        <v>1994</v>
      </c>
      <c r="F1302" s="25" t="s">
        <v>993</v>
      </c>
      <c r="G1302" s="25" t="s">
        <v>1020</v>
      </c>
      <c r="H1302" s="25">
        <v>38.92</v>
      </c>
      <c r="I1302" s="25">
        <v>-76.150000000000006</v>
      </c>
      <c r="J1302" s="25">
        <v>5</v>
      </c>
      <c r="M1302" s="25">
        <v>1275</v>
      </c>
      <c r="P1302" s="101">
        <v>8</v>
      </c>
      <c r="Q1302" s="101" t="s">
        <v>994</v>
      </c>
      <c r="R1302" s="101" t="s">
        <v>1028</v>
      </c>
      <c r="S1302" s="101" t="s">
        <v>1586</v>
      </c>
      <c r="T1302" s="101" t="s">
        <v>1565</v>
      </c>
      <c r="U1302" s="101" t="s">
        <v>1593</v>
      </c>
      <c r="V1302" s="101" t="s">
        <v>1912</v>
      </c>
      <c r="W1302" s="25">
        <v>1.5</v>
      </c>
      <c r="Z1302" s="25" t="s">
        <v>531</v>
      </c>
      <c r="AD1302" s="25" t="s">
        <v>1510</v>
      </c>
      <c r="AE1302" s="25" t="s">
        <v>159</v>
      </c>
      <c r="AF1302" s="152" t="s">
        <v>159</v>
      </c>
      <c r="AG1302" s="25" t="s">
        <v>160</v>
      </c>
      <c r="AH1302" s="154" t="s">
        <v>160</v>
      </c>
      <c r="AL1302" s="25" t="s">
        <v>269</v>
      </c>
      <c r="AM1302" s="25" t="s">
        <v>269</v>
      </c>
      <c r="AN1302" s="25" t="s">
        <v>212</v>
      </c>
      <c r="AO1302" s="25" t="s">
        <v>1022</v>
      </c>
      <c r="AP1302" s="25" t="s">
        <v>1022</v>
      </c>
      <c r="AQ1302" s="25" t="s">
        <v>212</v>
      </c>
      <c r="AR1302" s="25" t="s">
        <v>147</v>
      </c>
      <c r="AS1302" s="25">
        <v>4</v>
      </c>
      <c r="AT1302" s="25">
        <v>4</v>
      </c>
      <c r="AU1302" s="25" t="s">
        <v>379</v>
      </c>
      <c r="AW1302" s="25">
        <v>3645</v>
      </c>
      <c r="AX1302" s="25">
        <f>AW1302/59.2</f>
        <v>61.570945945945944</v>
      </c>
      <c r="BM1302" s="25">
        <v>1.77</v>
      </c>
      <c r="BN1302" s="25">
        <v>0.44</v>
      </c>
      <c r="BO1302" s="25" t="s">
        <v>1860</v>
      </c>
      <c r="FT1302" s="25">
        <v>59</v>
      </c>
    </row>
    <row r="1303" spans="1:176" s="25" customFormat="1" x14ac:dyDescent="0.25">
      <c r="A1303" s="25">
        <v>59</v>
      </c>
      <c r="B1303" s="25" t="s">
        <v>991</v>
      </c>
      <c r="C1303" s="25" t="s">
        <v>992</v>
      </c>
      <c r="D1303" s="25">
        <v>1997</v>
      </c>
      <c r="E1303" s="25">
        <v>1994</v>
      </c>
      <c r="F1303" s="25" t="s">
        <v>993</v>
      </c>
      <c r="G1303" s="25" t="s">
        <v>1020</v>
      </c>
      <c r="H1303" s="25">
        <v>38.92</v>
      </c>
      <c r="I1303" s="25">
        <v>-76.150000000000006</v>
      </c>
      <c r="J1303" s="25">
        <v>5</v>
      </c>
      <c r="M1303" s="25">
        <v>1275</v>
      </c>
      <c r="P1303" s="101">
        <v>8</v>
      </c>
      <c r="Q1303" s="101" t="s">
        <v>994</v>
      </c>
      <c r="R1303" s="101" t="s">
        <v>1029</v>
      </c>
      <c r="S1303" s="101" t="s">
        <v>1586</v>
      </c>
      <c r="T1303" s="101" t="s">
        <v>1565</v>
      </c>
      <c r="U1303" s="101" t="s">
        <v>1593</v>
      </c>
      <c r="V1303" s="101" t="s">
        <v>1912</v>
      </c>
      <c r="W1303" s="25">
        <v>1.5</v>
      </c>
      <c r="Z1303" s="25" t="s">
        <v>531</v>
      </c>
      <c r="AD1303" s="25" t="s">
        <v>1510</v>
      </c>
      <c r="AE1303" s="25" t="s">
        <v>159</v>
      </c>
      <c r="AF1303" s="152" t="s">
        <v>159</v>
      </c>
      <c r="AG1303" s="25" t="s">
        <v>160</v>
      </c>
      <c r="AH1303" s="154" t="s">
        <v>160</v>
      </c>
      <c r="AL1303" s="25" t="s">
        <v>269</v>
      </c>
      <c r="AM1303" s="25" t="s">
        <v>269</v>
      </c>
      <c r="AN1303" s="25" t="s">
        <v>212</v>
      </c>
      <c r="AO1303" s="25" t="s">
        <v>1022</v>
      </c>
      <c r="AP1303" s="25" t="s">
        <v>1022</v>
      </c>
      <c r="AQ1303" s="25" t="s">
        <v>212</v>
      </c>
      <c r="AR1303" s="25" t="s">
        <v>147</v>
      </c>
      <c r="AS1303" s="25">
        <v>4</v>
      </c>
      <c r="AT1303" s="25">
        <v>4</v>
      </c>
      <c r="AU1303" s="25" t="s">
        <v>379</v>
      </c>
      <c r="AW1303" s="25">
        <v>3645</v>
      </c>
      <c r="AX1303" s="25">
        <f>AW1303/59.2</f>
        <v>61.570945945945944</v>
      </c>
      <c r="BM1303" s="25">
        <v>0.84</v>
      </c>
      <c r="BN1303" s="25">
        <v>0.35</v>
      </c>
      <c r="BO1303" s="25" t="s">
        <v>1860</v>
      </c>
      <c r="FT1303" s="25">
        <v>59</v>
      </c>
    </row>
    <row r="1304" spans="1:176" s="97" customFormat="1" x14ac:dyDescent="0.25">
      <c r="A1304" s="97">
        <v>59</v>
      </c>
      <c r="B1304" s="97" t="s">
        <v>991</v>
      </c>
      <c r="C1304" s="97" t="s">
        <v>992</v>
      </c>
      <c r="D1304" s="97">
        <v>1997</v>
      </c>
      <c r="E1304" s="97">
        <v>1989</v>
      </c>
      <c r="F1304" s="97" t="s">
        <v>993</v>
      </c>
      <c r="G1304" s="97" t="s">
        <v>1020</v>
      </c>
      <c r="H1304" s="97">
        <v>38.92</v>
      </c>
      <c r="I1304" s="97">
        <v>-76.150000000000006</v>
      </c>
      <c r="J1304" s="97">
        <v>5</v>
      </c>
      <c r="M1304" s="97">
        <v>1300</v>
      </c>
      <c r="P1304" s="98">
        <v>3</v>
      </c>
      <c r="Q1304" s="98" t="s">
        <v>994</v>
      </c>
      <c r="R1304" s="98" t="s">
        <v>1028</v>
      </c>
      <c r="S1304" s="98" t="s">
        <v>1586</v>
      </c>
      <c r="T1304" s="98" t="s">
        <v>1565</v>
      </c>
      <c r="U1304" s="98" t="s">
        <v>1593</v>
      </c>
      <c r="V1304" s="98" t="s">
        <v>1912</v>
      </c>
      <c r="W1304" s="97">
        <v>1.5</v>
      </c>
      <c r="Z1304" s="97" t="s">
        <v>531</v>
      </c>
      <c r="AD1304" s="97" t="s">
        <v>1510</v>
      </c>
      <c r="AE1304" s="97" t="s">
        <v>159</v>
      </c>
      <c r="AF1304" s="152" t="s">
        <v>159</v>
      </c>
      <c r="AG1304" s="97" t="s">
        <v>160</v>
      </c>
      <c r="AH1304" s="154" t="s">
        <v>160</v>
      </c>
      <c r="AL1304" s="97" t="s">
        <v>188</v>
      </c>
      <c r="AM1304" s="97" t="s">
        <v>188</v>
      </c>
      <c r="AN1304" s="97" t="s">
        <v>212</v>
      </c>
      <c r="AO1304" s="97" t="s">
        <v>1022</v>
      </c>
      <c r="AP1304" s="97" t="s">
        <v>1022</v>
      </c>
      <c r="AQ1304" s="97" t="s">
        <v>212</v>
      </c>
      <c r="AR1304" s="97" t="s">
        <v>147</v>
      </c>
      <c r="AS1304" s="97">
        <v>4</v>
      </c>
      <c r="AT1304" s="97">
        <v>4</v>
      </c>
      <c r="AU1304" s="97" t="s">
        <v>379</v>
      </c>
      <c r="BM1304" s="97">
        <v>1.82</v>
      </c>
      <c r="BN1304" s="97">
        <v>0.37</v>
      </c>
      <c r="BO1304" s="97" t="s">
        <v>1860</v>
      </c>
      <c r="FT1304" s="97">
        <v>59</v>
      </c>
    </row>
    <row r="1305" spans="1:176" s="97" customFormat="1" x14ac:dyDescent="0.25">
      <c r="A1305" s="97">
        <v>59</v>
      </c>
      <c r="B1305" s="97" t="s">
        <v>991</v>
      </c>
      <c r="C1305" s="97" t="s">
        <v>992</v>
      </c>
      <c r="D1305" s="97">
        <v>1997</v>
      </c>
      <c r="E1305" s="97">
        <v>1989</v>
      </c>
      <c r="F1305" s="97" t="s">
        <v>993</v>
      </c>
      <c r="G1305" s="97" t="s">
        <v>1020</v>
      </c>
      <c r="H1305" s="97">
        <v>38.92</v>
      </c>
      <c r="I1305" s="97">
        <v>-76.150000000000006</v>
      </c>
      <c r="J1305" s="97">
        <v>5</v>
      </c>
      <c r="M1305" s="97">
        <v>1300</v>
      </c>
      <c r="P1305" s="98">
        <v>3</v>
      </c>
      <c r="Q1305" s="98" t="s">
        <v>994</v>
      </c>
      <c r="R1305" s="98" t="s">
        <v>1029</v>
      </c>
      <c r="S1305" s="98" t="s">
        <v>1586</v>
      </c>
      <c r="T1305" s="98" t="s">
        <v>1565</v>
      </c>
      <c r="U1305" s="98" t="s">
        <v>1593</v>
      </c>
      <c r="V1305" s="98" t="s">
        <v>1912</v>
      </c>
      <c r="W1305" s="97">
        <v>1.5</v>
      </c>
      <c r="Z1305" s="97" t="s">
        <v>531</v>
      </c>
      <c r="AD1305" s="97" t="s">
        <v>1510</v>
      </c>
      <c r="AE1305" s="97" t="s">
        <v>159</v>
      </c>
      <c r="AF1305" s="152" t="s">
        <v>159</v>
      </c>
      <c r="AG1305" s="97" t="s">
        <v>160</v>
      </c>
      <c r="AH1305" s="154" t="s">
        <v>160</v>
      </c>
      <c r="AL1305" s="97" t="s">
        <v>188</v>
      </c>
      <c r="AM1305" s="97" t="s">
        <v>188</v>
      </c>
      <c r="AN1305" s="97" t="s">
        <v>212</v>
      </c>
      <c r="AO1305" s="97" t="s">
        <v>1022</v>
      </c>
      <c r="AP1305" s="97" t="s">
        <v>1022</v>
      </c>
      <c r="AQ1305" s="97" t="s">
        <v>212</v>
      </c>
      <c r="AR1305" s="97" t="s">
        <v>147</v>
      </c>
      <c r="AS1305" s="97">
        <v>4</v>
      </c>
      <c r="AT1305" s="97">
        <v>4</v>
      </c>
      <c r="AU1305" s="97" t="s">
        <v>379</v>
      </c>
      <c r="BM1305" s="97">
        <v>2.92</v>
      </c>
      <c r="BN1305" s="97">
        <v>2.67</v>
      </c>
      <c r="BO1305" s="97" t="s">
        <v>1860</v>
      </c>
      <c r="FT1305" s="97">
        <v>59</v>
      </c>
    </row>
    <row r="1306" spans="1:176" s="97" customFormat="1" x14ac:dyDescent="0.25">
      <c r="A1306" s="97">
        <v>59</v>
      </c>
      <c r="B1306" s="97" t="s">
        <v>991</v>
      </c>
      <c r="C1306" s="97" t="s">
        <v>992</v>
      </c>
      <c r="D1306" s="97">
        <v>1997</v>
      </c>
      <c r="E1306" s="97">
        <v>1990</v>
      </c>
      <c r="F1306" s="97" t="s">
        <v>993</v>
      </c>
      <c r="G1306" s="97" t="s">
        <v>1020</v>
      </c>
      <c r="H1306" s="97">
        <v>38.92</v>
      </c>
      <c r="I1306" s="97">
        <v>-76.150000000000006</v>
      </c>
      <c r="J1306" s="97">
        <v>5</v>
      </c>
      <c r="M1306" s="97">
        <v>1007</v>
      </c>
      <c r="P1306" s="98">
        <v>4</v>
      </c>
      <c r="Q1306" s="98" t="s">
        <v>994</v>
      </c>
      <c r="R1306" s="98" t="s">
        <v>1028</v>
      </c>
      <c r="S1306" s="98" t="s">
        <v>1586</v>
      </c>
      <c r="T1306" s="98" t="s">
        <v>1565</v>
      </c>
      <c r="U1306" s="98" t="s">
        <v>1593</v>
      </c>
      <c r="V1306" s="98" t="s">
        <v>1912</v>
      </c>
      <c r="W1306" s="97">
        <v>1.5</v>
      </c>
      <c r="Z1306" s="97" t="s">
        <v>531</v>
      </c>
      <c r="AD1306" s="97" t="s">
        <v>1510</v>
      </c>
      <c r="AE1306" s="97" t="s">
        <v>159</v>
      </c>
      <c r="AF1306" s="152" t="s">
        <v>159</v>
      </c>
      <c r="AG1306" s="97" t="s">
        <v>160</v>
      </c>
      <c r="AH1306" s="154" t="s">
        <v>160</v>
      </c>
      <c r="AL1306" s="97" t="s">
        <v>188</v>
      </c>
      <c r="AM1306" s="97" t="s">
        <v>188</v>
      </c>
      <c r="AN1306" s="97" t="s">
        <v>212</v>
      </c>
      <c r="AO1306" s="97" t="s">
        <v>1022</v>
      </c>
      <c r="AP1306" s="97" t="s">
        <v>1022</v>
      </c>
      <c r="AQ1306" s="97" t="s">
        <v>212</v>
      </c>
      <c r="AR1306" s="97" t="s">
        <v>147</v>
      </c>
      <c r="AS1306" s="97">
        <v>4</v>
      </c>
      <c r="AT1306" s="97">
        <v>4</v>
      </c>
      <c r="AU1306" s="97" t="s">
        <v>379</v>
      </c>
      <c r="AW1306" s="97">
        <v>4048</v>
      </c>
      <c r="AX1306" s="97">
        <f>AW1306/85</f>
        <v>47.623529411764707</v>
      </c>
      <c r="BM1306" s="97">
        <v>3.03</v>
      </c>
      <c r="BN1306" s="97">
        <v>0.49</v>
      </c>
      <c r="BO1306" s="97" t="s">
        <v>1860</v>
      </c>
      <c r="FT1306" s="97">
        <v>59</v>
      </c>
    </row>
    <row r="1307" spans="1:176" s="97" customFormat="1" x14ac:dyDescent="0.25">
      <c r="A1307" s="97">
        <v>59</v>
      </c>
      <c r="B1307" s="97" t="s">
        <v>991</v>
      </c>
      <c r="C1307" s="97" t="s">
        <v>992</v>
      </c>
      <c r="D1307" s="97">
        <v>1997</v>
      </c>
      <c r="E1307" s="97">
        <v>1990</v>
      </c>
      <c r="F1307" s="97" t="s">
        <v>993</v>
      </c>
      <c r="G1307" s="97" t="s">
        <v>1020</v>
      </c>
      <c r="H1307" s="97">
        <v>38.92</v>
      </c>
      <c r="I1307" s="97">
        <v>-76.150000000000006</v>
      </c>
      <c r="J1307" s="97">
        <v>5</v>
      </c>
      <c r="M1307" s="97">
        <v>1007</v>
      </c>
      <c r="P1307" s="98">
        <v>4</v>
      </c>
      <c r="Q1307" s="98" t="s">
        <v>994</v>
      </c>
      <c r="R1307" s="98" t="s">
        <v>1029</v>
      </c>
      <c r="S1307" s="98" t="s">
        <v>1586</v>
      </c>
      <c r="T1307" s="98" t="s">
        <v>1565</v>
      </c>
      <c r="U1307" s="98" t="s">
        <v>1593</v>
      </c>
      <c r="V1307" s="98" t="s">
        <v>1912</v>
      </c>
      <c r="W1307" s="97">
        <v>1.5</v>
      </c>
      <c r="Z1307" s="97" t="s">
        <v>531</v>
      </c>
      <c r="AD1307" s="97" t="s">
        <v>1510</v>
      </c>
      <c r="AE1307" s="97" t="s">
        <v>159</v>
      </c>
      <c r="AF1307" s="152" t="s">
        <v>159</v>
      </c>
      <c r="AG1307" s="97" t="s">
        <v>160</v>
      </c>
      <c r="AH1307" s="154" t="s">
        <v>160</v>
      </c>
      <c r="AL1307" s="97" t="s">
        <v>188</v>
      </c>
      <c r="AM1307" s="97" t="s">
        <v>188</v>
      </c>
      <c r="AN1307" s="97" t="s">
        <v>212</v>
      </c>
      <c r="AO1307" s="97" t="s">
        <v>1022</v>
      </c>
      <c r="AP1307" s="97" t="s">
        <v>1022</v>
      </c>
      <c r="AQ1307" s="97" t="s">
        <v>212</v>
      </c>
      <c r="AR1307" s="97" t="s">
        <v>147</v>
      </c>
      <c r="AS1307" s="97">
        <v>4</v>
      </c>
      <c r="AT1307" s="97">
        <v>4</v>
      </c>
      <c r="AU1307" s="97" t="s">
        <v>379</v>
      </c>
      <c r="AW1307" s="97">
        <v>4048</v>
      </c>
      <c r="AX1307" s="97">
        <f>AW1307/85</f>
        <v>47.623529411764707</v>
      </c>
      <c r="BM1307" s="97">
        <v>1.54</v>
      </c>
      <c r="BN1307" s="97">
        <v>0.73</v>
      </c>
      <c r="BO1307" s="97" t="s">
        <v>1860</v>
      </c>
      <c r="FT1307" s="97">
        <v>59</v>
      </c>
    </row>
    <row r="1308" spans="1:176" s="97" customFormat="1" x14ac:dyDescent="0.25">
      <c r="A1308" s="97">
        <v>59</v>
      </c>
      <c r="B1308" s="97" t="s">
        <v>991</v>
      </c>
      <c r="C1308" s="97" t="s">
        <v>992</v>
      </c>
      <c r="D1308" s="97">
        <v>1997</v>
      </c>
      <c r="E1308" s="97">
        <v>1991</v>
      </c>
      <c r="F1308" s="97" t="s">
        <v>993</v>
      </c>
      <c r="G1308" s="97" t="s">
        <v>1020</v>
      </c>
      <c r="H1308" s="97">
        <v>38.92</v>
      </c>
      <c r="I1308" s="97">
        <v>-76.150000000000006</v>
      </c>
      <c r="J1308" s="97">
        <v>5</v>
      </c>
      <c r="M1308" s="97">
        <v>997</v>
      </c>
      <c r="P1308" s="98">
        <v>5</v>
      </c>
      <c r="Q1308" s="98" t="s">
        <v>994</v>
      </c>
      <c r="R1308" s="98" t="s">
        <v>1028</v>
      </c>
      <c r="S1308" s="98" t="s">
        <v>1586</v>
      </c>
      <c r="T1308" s="98" t="s">
        <v>1565</v>
      </c>
      <c r="U1308" s="98" t="s">
        <v>1593</v>
      </c>
      <c r="V1308" s="98" t="s">
        <v>1912</v>
      </c>
      <c r="W1308" s="97">
        <v>1.5</v>
      </c>
      <c r="Z1308" s="97" t="s">
        <v>531</v>
      </c>
      <c r="AD1308" s="97" t="s">
        <v>1510</v>
      </c>
      <c r="AE1308" s="97" t="s">
        <v>159</v>
      </c>
      <c r="AF1308" s="152" t="s">
        <v>159</v>
      </c>
      <c r="AG1308" s="97" t="s">
        <v>160</v>
      </c>
      <c r="AH1308" s="154" t="s">
        <v>160</v>
      </c>
      <c r="AL1308" s="97" t="s">
        <v>188</v>
      </c>
      <c r="AM1308" s="97" t="s">
        <v>188</v>
      </c>
      <c r="AN1308" s="97" t="s">
        <v>212</v>
      </c>
      <c r="AO1308" s="97" t="s">
        <v>1022</v>
      </c>
      <c r="AP1308" s="97" t="s">
        <v>1022</v>
      </c>
      <c r="AQ1308" s="97" t="s">
        <v>212</v>
      </c>
      <c r="AR1308" s="97" t="s">
        <v>147</v>
      </c>
      <c r="AS1308" s="97">
        <v>4</v>
      </c>
      <c r="AT1308" s="97">
        <v>4</v>
      </c>
      <c r="AU1308" s="97" t="s">
        <v>379</v>
      </c>
      <c r="AW1308" s="97">
        <v>1793</v>
      </c>
      <c r="AX1308" s="97">
        <f>AW1308/25.9</f>
        <v>69.227799227799238</v>
      </c>
      <c r="BM1308" s="97">
        <v>3.64</v>
      </c>
      <c r="BN1308" s="97">
        <v>0.22</v>
      </c>
      <c r="BO1308" s="97" t="s">
        <v>1860</v>
      </c>
      <c r="FT1308" s="97">
        <v>59</v>
      </c>
    </row>
    <row r="1309" spans="1:176" s="97" customFormat="1" x14ac:dyDescent="0.25">
      <c r="A1309" s="97">
        <v>59</v>
      </c>
      <c r="B1309" s="97" t="s">
        <v>991</v>
      </c>
      <c r="C1309" s="97" t="s">
        <v>992</v>
      </c>
      <c r="D1309" s="97">
        <v>1997</v>
      </c>
      <c r="E1309" s="97">
        <v>1991</v>
      </c>
      <c r="F1309" s="97" t="s">
        <v>993</v>
      </c>
      <c r="G1309" s="97" t="s">
        <v>1020</v>
      </c>
      <c r="H1309" s="97">
        <v>38.92</v>
      </c>
      <c r="I1309" s="97">
        <v>-76.150000000000006</v>
      </c>
      <c r="J1309" s="97">
        <v>5</v>
      </c>
      <c r="M1309" s="97">
        <v>997</v>
      </c>
      <c r="P1309" s="98">
        <v>5</v>
      </c>
      <c r="Q1309" s="98" t="s">
        <v>994</v>
      </c>
      <c r="R1309" s="98" t="s">
        <v>1029</v>
      </c>
      <c r="S1309" s="98" t="s">
        <v>1586</v>
      </c>
      <c r="T1309" s="98" t="s">
        <v>1565</v>
      </c>
      <c r="U1309" s="98" t="s">
        <v>1593</v>
      </c>
      <c r="V1309" s="98" t="s">
        <v>1912</v>
      </c>
      <c r="W1309" s="97">
        <v>1.5</v>
      </c>
      <c r="Z1309" s="97" t="s">
        <v>531</v>
      </c>
      <c r="AD1309" s="97" t="s">
        <v>1510</v>
      </c>
      <c r="AE1309" s="97" t="s">
        <v>159</v>
      </c>
      <c r="AF1309" s="152" t="s">
        <v>159</v>
      </c>
      <c r="AG1309" s="97" t="s">
        <v>160</v>
      </c>
      <c r="AH1309" s="154" t="s">
        <v>160</v>
      </c>
      <c r="AL1309" s="97" t="s">
        <v>188</v>
      </c>
      <c r="AM1309" s="97" t="s">
        <v>188</v>
      </c>
      <c r="AN1309" s="97" t="s">
        <v>212</v>
      </c>
      <c r="AO1309" s="97" t="s">
        <v>1022</v>
      </c>
      <c r="AP1309" s="97" t="s">
        <v>1022</v>
      </c>
      <c r="AQ1309" s="97" t="s">
        <v>212</v>
      </c>
      <c r="AR1309" s="97" t="s">
        <v>147</v>
      </c>
      <c r="AS1309" s="97">
        <v>4</v>
      </c>
      <c r="AT1309" s="97">
        <v>4</v>
      </c>
      <c r="AU1309" s="97" t="s">
        <v>379</v>
      </c>
      <c r="AW1309" s="97">
        <v>1793</v>
      </c>
      <c r="AX1309" s="97">
        <f>AW1309/25.9</f>
        <v>69.227799227799238</v>
      </c>
      <c r="BM1309" s="97">
        <v>2.57</v>
      </c>
      <c r="BN1309" s="97">
        <v>1.03</v>
      </c>
      <c r="BO1309" s="97" t="s">
        <v>1860</v>
      </c>
      <c r="FT1309" s="97">
        <v>59</v>
      </c>
    </row>
    <row r="1310" spans="1:176" s="97" customFormat="1" x14ac:dyDescent="0.25">
      <c r="A1310" s="97">
        <v>59</v>
      </c>
      <c r="B1310" s="97" t="s">
        <v>991</v>
      </c>
      <c r="C1310" s="97" t="s">
        <v>992</v>
      </c>
      <c r="D1310" s="97">
        <v>1997</v>
      </c>
      <c r="E1310" s="97">
        <v>1992</v>
      </c>
      <c r="F1310" s="97" t="s">
        <v>993</v>
      </c>
      <c r="G1310" s="97" t="s">
        <v>1020</v>
      </c>
      <c r="H1310" s="97">
        <v>38.92</v>
      </c>
      <c r="I1310" s="97">
        <v>-76.150000000000006</v>
      </c>
      <c r="J1310" s="97">
        <v>5</v>
      </c>
      <c r="M1310" s="97">
        <v>866</v>
      </c>
      <c r="P1310" s="98">
        <v>6</v>
      </c>
      <c r="Q1310" s="98" t="s">
        <v>994</v>
      </c>
      <c r="R1310" s="98" t="s">
        <v>1028</v>
      </c>
      <c r="S1310" s="98" t="s">
        <v>1586</v>
      </c>
      <c r="T1310" s="98" t="s">
        <v>1565</v>
      </c>
      <c r="U1310" s="98" t="s">
        <v>1593</v>
      </c>
      <c r="V1310" s="98" t="s">
        <v>1912</v>
      </c>
      <c r="W1310" s="97">
        <v>1.5</v>
      </c>
      <c r="Z1310" s="97" t="s">
        <v>531</v>
      </c>
      <c r="AD1310" s="97" t="s">
        <v>1510</v>
      </c>
      <c r="AE1310" s="97" t="s">
        <v>159</v>
      </c>
      <c r="AF1310" s="152" t="s">
        <v>159</v>
      </c>
      <c r="AG1310" s="97" t="s">
        <v>160</v>
      </c>
      <c r="AH1310" s="154" t="s">
        <v>160</v>
      </c>
      <c r="AL1310" s="97" t="s">
        <v>188</v>
      </c>
      <c r="AM1310" s="97" t="s">
        <v>188</v>
      </c>
      <c r="AN1310" s="97" t="s">
        <v>212</v>
      </c>
      <c r="AO1310" s="97" t="s">
        <v>1022</v>
      </c>
      <c r="AP1310" s="97" t="s">
        <v>1022</v>
      </c>
      <c r="AQ1310" s="97" t="s">
        <v>212</v>
      </c>
      <c r="AR1310" s="97" t="s">
        <v>147</v>
      </c>
      <c r="AS1310" s="97">
        <v>4</v>
      </c>
      <c r="AT1310" s="97">
        <v>4</v>
      </c>
      <c r="AU1310" s="97" t="s">
        <v>379</v>
      </c>
      <c r="AW1310" s="97">
        <v>2053</v>
      </c>
      <c r="AX1310" s="97">
        <f>AW1310/40.5</f>
        <v>50.691358024691361</v>
      </c>
      <c r="BM1310" s="97">
        <v>3.67</v>
      </c>
      <c r="BN1310" s="97">
        <v>0.14000000000000001</v>
      </c>
      <c r="BO1310" s="97" t="s">
        <v>1860</v>
      </c>
      <c r="FT1310" s="97">
        <v>59</v>
      </c>
    </row>
    <row r="1311" spans="1:176" s="97" customFormat="1" x14ac:dyDescent="0.25">
      <c r="A1311" s="97">
        <v>59</v>
      </c>
      <c r="B1311" s="97" t="s">
        <v>991</v>
      </c>
      <c r="C1311" s="97" t="s">
        <v>992</v>
      </c>
      <c r="D1311" s="97">
        <v>1997</v>
      </c>
      <c r="E1311" s="97">
        <v>1992</v>
      </c>
      <c r="F1311" s="97" t="s">
        <v>993</v>
      </c>
      <c r="G1311" s="97" t="s">
        <v>1020</v>
      </c>
      <c r="H1311" s="97">
        <v>38.92</v>
      </c>
      <c r="I1311" s="97">
        <v>-76.150000000000006</v>
      </c>
      <c r="J1311" s="97">
        <v>5</v>
      </c>
      <c r="M1311" s="97">
        <v>866</v>
      </c>
      <c r="P1311" s="98">
        <v>6</v>
      </c>
      <c r="Q1311" s="98" t="s">
        <v>994</v>
      </c>
      <c r="R1311" s="98" t="s">
        <v>1029</v>
      </c>
      <c r="S1311" s="98" t="s">
        <v>1586</v>
      </c>
      <c r="T1311" s="98" t="s">
        <v>1565</v>
      </c>
      <c r="U1311" s="98" t="s">
        <v>1593</v>
      </c>
      <c r="V1311" s="98" t="s">
        <v>1912</v>
      </c>
      <c r="W1311" s="97">
        <v>1.5</v>
      </c>
      <c r="Z1311" s="97" t="s">
        <v>531</v>
      </c>
      <c r="AD1311" s="97" t="s">
        <v>1510</v>
      </c>
      <c r="AE1311" s="97" t="s">
        <v>159</v>
      </c>
      <c r="AF1311" s="152" t="s">
        <v>159</v>
      </c>
      <c r="AG1311" s="97" t="s">
        <v>160</v>
      </c>
      <c r="AH1311" s="154" t="s">
        <v>160</v>
      </c>
      <c r="AL1311" s="97" t="s">
        <v>188</v>
      </c>
      <c r="AM1311" s="97" t="s">
        <v>188</v>
      </c>
      <c r="AN1311" s="97" t="s">
        <v>212</v>
      </c>
      <c r="AO1311" s="97" t="s">
        <v>1022</v>
      </c>
      <c r="AP1311" s="97" t="s">
        <v>1022</v>
      </c>
      <c r="AQ1311" s="97" t="s">
        <v>212</v>
      </c>
      <c r="AR1311" s="97" t="s">
        <v>147</v>
      </c>
      <c r="AS1311" s="97">
        <v>4</v>
      </c>
      <c r="AT1311" s="97">
        <v>4</v>
      </c>
      <c r="AU1311" s="97" t="s">
        <v>379</v>
      </c>
      <c r="AW1311" s="97">
        <v>2053</v>
      </c>
      <c r="AX1311" s="97">
        <f>AW1311/40.5</f>
        <v>50.691358024691361</v>
      </c>
      <c r="BM1311" s="97">
        <v>0.81</v>
      </c>
      <c r="BN1311" s="97">
        <v>0.34</v>
      </c>
      <c r="BO1311" s="97" t="s">
        <v>1860</v>
      </c>
      <c r="FT1311" s="97">
        <v>59</v>
      </c>
    </row>
    <row r="1312" spans="1:176" s="97" customFormat="1" x14ac:dyDescent="0.25">
      <c r="A1312" s="97">
        <v>59</v>
      </c>
      <c r="B1312" s="97" t="s">
        <v>991</v>
      </c>
      <c r="C1312" s="97" t="s">
        <v>992</v>
      </c>
      <c r="D1312" s="97">
        <v>1997</v>
      </c>
      <c r="E1312" s="97">
        <v>1993</v>
      </c>
      <c r="F1312" s="97" t="s">
        <v>993</v>
      </c>
      <c r="G1312" s="97" t="s">
        <v>1020</v>
      </c>
      <c r="H1312" s="97">
        <v>38.92</v>
      </c>
      <c r="I1312" s="97">
        <v>-76.150000000000006</v>
      </c>
      <c r="J1312" s="97">
        <v>5</v>
      </c>
      <c r="M1312" s="97">
        <v>972</v>
      </c>
      <c r="P1312" s="98">
        <v>7</v>
      </c>
      <c r="Q1312" s="98" t="s">
        <v>994</v>
      </c>
      <c r="R1312" s="98" t="s">
        <v>1028</v>
      </c>
      <c r="S1312" s="98" t="s">
        <v>1586</v>
      </c>
      <c r="T1312" s="98" t="s">
        <v>1565</v>
      </c>
      <c r="U1312" s="98" t="s">
        <v>1593</v>
      </c>
      <c r="V1312" s="98" t="s">
        <v>1912</v>
      </c>
      <c r="W1312" s="97">
        <v>1.5</v>
      </c>
      <c r="Z1312" s="97" t="s">
        <v>531</v>
      </c>
      <c r="AD1312" s="97" t="s">
        <v>1510</v>
      </c>
      <c r="AE1312" s="97" t="s">
        <v>159</v>
      </c>
      <c r="AF1312" s="152" t="s">
        <v>159</v>
      </c>
      <c r="AG1312" s="97" t="s">
        <v>160</v>
      </c>
      <c r="AH1312" s="154" t="s">
        <v>160</v>
      </c>
      <c r="AL1312" s="97" t="s">
        <v>188</v>
      </c>
      <c r="AM1312" s="97" t="s">
        <v>188</v>
      </c>
      <c r="AN1312" s="97" t="s">
        <v>212</v>
      </c>
      <c r="AO1312" s="97" t="s">
        <v>1022</v>
      </c>
      <c r="AP1312" s="97" t="s">
        <v>1022</v>
      </c>
      <c r="AQ1312" s="97" t="s">
        <v>212</v>
      </c>
      <c r="AR1312" s="97" t="s">
        <v>147</v>
      </c>
      <c r="AS1312" s="97">
        <v>4</v>
      </c>
      <c r="AT1312" s="97">
        <v>4</v>
      </c>
      <c r="AU1312" s="97" t="s">
        <v>379</v>
      </c>
      <c r="AW1312" s="97">
        <v>1873</v>
      </c>
      <c r="AX1312" s="97">
        <f>AW1312/37.3</f>
        <v>50.21447721179625</v>
      </c>
      <c r="BM1312" s="97">
        <v>2.04</v>
      </c>
      <c r="BN1312" s="97">
        <v>0.3</v>
      </c>
      <c r="BO1312" s="97" t="s">
        <v>1860</v>
      </c>
      <c r="FT1312" s="97">
        <v>59</v>
      </c>
    </row>
    <row r="1313" spans="1:176" s="97" customFormat="1" x14ac:dyDescent="0.25">
      <c r="A1313" s="97">
        <v>59</v>
      </c>
      <c r="B1313" s="97" t="s">
        <v>991</v>
      </c>
      <c r="C1313" s="97" t="s">
        <v>992</v>
      </c>
      <c r="D1313" s="97">
        <v>1997</v>
      </c>
      <c r="E1313" s="97">
        <v>1993</v>
      </c>
      <c r="F1313" s="97" t="s">
        <v>993</v>
      </c>
      <c r="G1313" s="97" t="s">
        <v>1020</v>
      </c>
      <c r="H1313" s="97">
        <v>38.92</v>
      </c>
      <c r="I1313" s="97">
        <v>-76.150000000000006</v>
      </c>
      <c r="J1313" s="97">
        <v>5</v>
      </c>
      <c r="M1313" s="97">
        <v>972</v>
      </c>
      <c r="P1313" s="98">
        <v>7</v>
      </c>
      <c r="Q1313" s="98" t="s">
        <v>994</v>
      </c>
      <c r="R1313" s="98" t="s">
        <v>1029</v>
      </c>
      <c r="S1313" s="98" t="s">
        <v>1586</v>
      </c>
      <c r="T1313" s="98" t="s">
        <v>1565</v>
      </c>
      <c r="U1313" s="98" t="s">
        <v>1593</v>
      </c>
      <c r="V1313" s="98" t="s">
        <v>1912</v>
      </c>
      <c r="W1313" s="97">
        <v>1.5</v>
      </c>
      <c r="Z1313" s="97" t="s">
        <v>531</v>
      </c>
      <c r="AD1313" s="97" t="s">
        <v>1510</v>
      </c>
      <c r="AE1313" s="97" t="s">
        <v>159</v>
      </c>
      <c r="AF1313" s="152" t="s">
        <v>159</v>
      </c>
      <c r="AG1313" s="97" t="s">
        <v>160</v>
      </c>
      <c r="AH1313" s="154" t="s">
        <v>160</v>
      </c>
      <c r="AL1313" s="97" t="s">
        <v>188</v>
      </c>
      <c r="AM1313" s="97" t="s">
        <v>188</v>
      </c>
      <c r="AN1313" s="97" t="s">
        <v>212</v>
      </c>
      <c r="AO1313" s="97" t="s">
        <v>1022</v>
      </c>
      <c r="AP1313" s="97" t="s">
        <v>1022</v>
      </c>
      <c r="AQ1313" s="97" t="s">
        <v>212</v>
      </c>
      <c r="AR1313" s="97" t="s">
        <v>147</v>
      </c>
      <c r="AS1313" s="97">
        <v>4</v>
      </c>
      <c r="AT1313" s="97">
        <v>4</v>
      </c>
      <c r="AU1313" s="97" t="s">
        <v>379</v>
      </c>
      <c r="AW1313" s="97">
        <v>1873</v>
      </c>
      <c r="AX1313" s="97">
        <f>AW1313/37.3</f>
        <v>50.21447721179625</v>
      </c>
      <c r="BM1313" s="97">
        <v>0.48</v>
      </c>
      <c r="BN1313" s="97">
        <v>0.19</v>
      </c>
      <c r="BO1313" s="97" t="s">
        <v>1860</v>
      </c>
      <c r="FT1313" s="97">
        <v>59</v>
      </c>
    </row>
    <row r="1314" spans="1:176" s="97" customFormat="1" x14ac:dyDescent="0.25">
      <c r="A1314" s="97">
        <v>59</v>
      </c>
      <c r="B1314" s="97" t="s">
        <v>991</v>
      </c>
      <c r="C1314" s="97" t="s">
        <v>992</v>
      </c>
      <c r="D1314" s="97">
        <v>1997</v>
      </c>
      <c r="E1314" s="97">
        <v>1994</v>
      </c>
      <c r="F1314" s="97" t="s">
        <v>993</v>
      </c>
      <c r="G1314" s="97" t="s">
        <v>1020</v>
      </c>
      <c r="H1314" s="97">
        <v>38.92</v>
      </c>
      <c r="I1314" s="97">
        <v>-76.150000000000006</v>
      </c>
      <c r="J1314" s="97">
        <v>5</v>
      </c>
      <c r="M1314" s="97">
        <v>1275</v>
      </c>
      <c r="P1314" s="98">
        <v>8</v>
      </c>
      <c r="Q1314" s="98" t="s">
        <v>994</v>
      </c>
      <c r="R1314" s="98" t="s">
        <v>1028</v>
      </c>
      <c r="S1314" s="98" t="s">
        <v>1586</v>
      </c>
      <c r="T1314" s="98" t="s">
        <v>1565</v>
      </c>
      <c r="U1314" s="98" t="s">
        <v>1593</v>
      </c>
      <c r="V1314" s="98" t="s">
        <v>1912</v>
      </c>
      <c r="W1314" s="97">
        <v>1.5</v>
      </c>
      <c r="Z1314" s="97" t="s">
        <v>531</v>
      </c>
      <c r="AD1314" s="97" t="s">
        <v>1510</v>
      </c>
      <c r="AE1314" s="97" t="s">
        <v>159</v>
      </c>
      <c r="AF1314" s="152" t="s">
        <v>159</v>
      </c>
      <c r="AG1314" s="97" t="s">
        <v>160</v>
      </c>
      <c r="AH1314" s="154" t="s">
        <v>160</v>
      </c>
      <c r="AL1314" s="97" t="s">
        <v>188</v>
      </c>
      <c r="AM1314" s="97" t="s">
        <v>188</v>
      </c>
      <c r="AN1314" s="97" t="s">
        <v>212</v>
      </c>
      <c r="AO1314" s="97" t="s">
        <v>1022</v>
      </c>
      <c r="AP1314" s="97" t="s">
        <v>1022</v>
      </c>
      <c r="AQ1314" s="97" t="s">
        <v>212</v>
      </c>
      <c r="AR1314" s="97" t="s">
        <v>147</v>
      </c>
      <c r="AS1314" s="97">
        <v>4</v>
      </c>
      <c r="AT1314" s="97">
        <v>4</v>
      </c>
      <c r="AU1314" s="97" t="s">
        <v>379</v>
      </c>
      <c r="AW1314" s="97">
        <v>3645</v>
      </c>
      <c r="AX1314" s="97">
        <f>AW1314/59.2</f>
        <v>61.570945945945944</v>
      </c>
      <c r="BM1314" s="97">
        <v>1.53</v>
      </c>
      <c r="BN1314" s="97">
        <v>0.19</v>
      </c>
      <c r="BO1314" s="97" t="s">
        <v>1860</v>
      </c>
      <c r="FT1314" s="97">
        <v>59</v>
      </c>
    </row>
    <row r="1315" spans="1:176" s="97" customFormat="1" x14ac:dyDescent="0.25">
      <c r="A1315" s="97">
        <v>59</v>
      </c>
      <c r="B1315" s="97" t="s">
        <v>991</v>
      </c>
      <c r="C1315" s="97" t="s">
        <v>992</v>
      </c>
      <c r="D1315" s="97">
        <v>1997</v>
      </c>
      <c r="E1315" s="97">
        <v>1994</v>
      </c>
      <c r="F1315" s="97" t="s">
        <v>993</v>
      </c>
      <c r="G1315" s="97" t="s">
        <v>1020</v>
      </c>
      <c r="H1315" s="97">
        <v>38.92</v>
      </c>
      <c r="I1315" s="97">
        <v>-76.150000000000006</v>
      </c>
      <c r="J1315" s="97">
        <v>5</v>
      </c>
      <c r="M1315" s="97">
        <v>1275</v>
      </c>
      <c r="P1315" s="98">
        <v>8</v>
      </c>
      <c r="Q1315" s="98" t="s">
        <v>994</v>
      </c>
      <c r="R1315" s="98" t="s">
        <v>1029</v>
      </c>
      <c r="S1315" s="98" t="s">
        <v>1586</v>
      </c>
      <c r="T1315" s="98" t="s">
        <v>1565</v>
      </c>
      <c r="U1315" s="98" t="s">
        <v>1593</v>
      </c>
      <c r="V1315" s="98" t="s">
        <v>1912</v>
      </c>
      <c r="W1315" s="97">
        <v>1.5</v>
      </c>
      <c r="Z1315" s="97" t="s">
        <v>531</v>
      </c>
      <c r="AD1315" s="97" t="s">
        <v>1510</v>
      </c>
      <c r="AE1315" s="97" t="s">
        <v>159</v>
      </c>
      <c r="AF1315" s="152" t="s">
        <v>159</v>
      </c>
      <c r="AG1315" s="97" t="s">
        <v>160</v>
      </c>
      <c r="AH1315" s="154" t="s">
        <v>160</v>
      </c>
      <c r="AL1315" s="97" t="s">
        <v>188</v>
      </c>
      <c r="AM1315" s="97" t="s">
        <v>188</v>
      </c>
      <c r="AN1315" s="97" t="s">
        <v>212</v>
      </c>
      <c r="AO1315" s="97" t="s">
        <v>1022</v>
      </c>
      <c r="AP1315" s="97" t="s">
        <v>1022</v>
      </c>
      <c r="AQ1315" s="97" t="s">
        <v>212</v>
      </c>
      <c r="AR1315" s="97" t="s">
        <v>147</v>
      </c>
      <c r="AS1315" s="97">
        <v>4</v>
      </c>
      <c r="AT1315" s="97">
        <v>4</v>
      </c>
      <c r="AU1315" s="97" t="s">
        <v>379</v>
      </c>
      <c r="AW1315" s="97">
        <v>3645</v>
      </c>
      <c r="AX1315" s="97">
        <f>AW1315/59.2</f>
        <v>61.570945945945944</v>
      </c>
      <c r="BM1315" s="97">
        <v>0.24</v>
      </c>
      <c r="BN1315" s="97">
        <v>0.24</v>
      </c>
      <c r="BO1315" s="97" t="s">
        <v>1860</v>
      </c>
      <c r="FT1315" s="97">
        <v>59</v>
      </c>
    </row>
    <row r="1316" spans="1:176" x14ac:dyDescent="0.25">
      <c r="A1316" s="46">
        <v>60</v>
      </c>
      <c r="B1316" s="46" t="s">
        <v>1030</v>
      </c>
      <c r="C1316" s="46" t="s">
        <v>1031</v>
      </c>
      <c r="D1316" s="46">
        <v>2012</v>
      </c>
      <c r="E1316" s="46">
        <v>2005</v>
      </c>
      <c r="F1316" s="46" t="s">
        <v>180</v>
      </c>
      <c r="G1316" s="46" t="s">
        <v>1032</v>
      </c>
      <c r="H1316" s="46">
        <f t="shared" ref="H1316:H1323" si="236">38+37/60</f>
        <v>38.616666666666667</v>
      </c>
      <c r="I1316" s="46">
        <f t="shared" ref="I1316:I1323" si="237">-76-44/60</f>
        <v>-76.733333333333334</v>
      </c>
      <c r="J1316" s="46">
        <v>25.4</v>
      </c>
      <c r="P1316" s="81">
        <v>1</v>
      </c>
      <c r="Q1316" s="81" t="s">
        <v>994</v>
      </c>
      <c r="R1316" s="81" t="s">
        <v>1035</v>
      </c>
      <c r="S1316" s="81" t="s">
        <v>1564</v>
      </c>
      <c r="T1316" s="81" t="s">
        <v>1564</v>
      </c>
      <c r="U1316" s="81" t="s">
        <v>1564</v>
      </c>
      <c r="V1316" s="81" t="s">
        <v>1907</v>
      </c>
      <c r="W1316" s="46">
        <v>1.37</v>
      </c>
      <c r="Z1316" s="46" t="s">
        <v>531</v>
      </c>
      <c r="AD1316" s="46" t="s">
        <v>1511</v>
      </c>
      <c r="AE1316" s="46" t="s">
        <v>159</v>
      </c>
      <c r="AF1316" s="152" t="s">
        <v>159</v>
      </c>
      <c r="AG1316" s="46" t="s">
        <v>160</v>
      </c>
      <c r="AH1316" s="155" t="s">
        <v>160</v>
      </c>
      <c r="AL1316" s="46" t="s">
        <v>188</v>
      </c>
      <c r="AM1316" s="46" t="s">
        <v>188</v>
      </c>
      <c r="AN1316" s="46" t="s">
        <v>212</v>
      </c>
      <c r="AO1316" s="46" t="s">
        <v>1034</v>
      </c>
      <c r="AP1316" s="46">
        <v>0</v>
      </c>
      <c r="AQ1316" s="46" t="s">
        <v>587</v>
      </c>
      <c r="AR1316" s="46" t="s">
        <v>192</v>
      </c>
      <c r="AS1316" s="46">
        <v>4</v>
      </c>
      <c r="AT1316" s="46">
        <v>4</v>
      </c>
      <c r="AU1316" s="46" t="s">
        <v>169</v>
      </c>
      <c r="AZ1316" s="46" t="s">
        <v>1037</v>
      </c>
      <c r="BD1316" s="46">
        <v>7997</v>
      </c>
      <c r="BE1316" s="46">
        <v>7827</v>
      </c>
      <c r="BG1316" s="46">
        <v>1.41</v>
      </c>
      <c r="BH1316" s="46">
        <v>1.427</v>
      </c>
      <c r="BJ1316" s="46">
        <v>0.186</v>
      </c>
      <c r="BK1316" s="46">
        <v>0.20899999999999999</v>
      </c>
      <c r="BL1316" s="46" t="s">
        <v>1043</v>
      </c>
      <c r="CH1316" s="46">
        <v>44.55</v>
      </c>
      <c r="CI1316" s="46">
        <v>59.59</v>
      </c>
      <c r="CJ1316" s="46" t="s">
        <v>1040</v>
      </c>
      <c r="CK1316" s="46">
        <v>5.94</v>
      </c>
      <c r="CL1316" s="46">
        <v>4.67</v>
      </c>
      <c r="CM1316" s="46" t="s">
        <v>1051</v>
      </c>
      <c r="CQ1316" s="46">
        <f>0.868*3600</f>
        <v>3124.8</v>
      </c>
      <c r="CR1316" s="46">
        <f>2.3*3600</f>
        <v>8280</v>
      </c>
      <c r="CS1316" s="46" t="s">
        <v>1045</v>
      </c>
      <c r="CT1316" s="46">
        <f>0.013*360</f>
        <v>4.68</v>
      </c>
      <c r="CU1316" s="46">
        <f>0.013*360</f>
        <v>4.68</v>
      </c>
      <c r="CV1316" s="46" t="s">
        <v>1050</v>
      </c>
      <c r="FT1316" s="46">
        <v>60</v>
      </c>
    </row>
    <row r="1317" spans="1:176" x14ac:dyDescent="0.25">
      <c r="A1317" s="46">
        <v>60</v>
      </c>
      <c r="B1317" s="46" t="s">
        <v>1030</v>
      </c>
      <c r="C1317" s="46" t="s">
        <v>1031</v>
      </c>
      <c r="D1317" s="46">
        <v>2012</v>
      </c>
      <c r="E1317" s="46">
        <v>2005</v>
      </c>
      <c r="F1317" s="46" t="s">
        <v>180</v>
      </c>
      <c r="G1317" s="46" t="s">
        <v>1032</v>
      </c>
      <c r="H1317" s="46">
        <f t="shared" si="236"/>
        <v>38.616666666666667</v>
      </c>
      <c r="I1317" s="46">
        <f t="shared" si="237"/>
        <v>-76.733333333333334</v>
      </c>
      <c r="J1317" s="46">
        <v>25.4</v>
      </c>
      <c r="P1317" s="81">
        <v>1</v>
      </c>
      <c r="Q1317" s="81" t="s">
        <v>994</v>
      </c>
      <c r="R1317" s="81" t="s">
        <v>1035</v>
      </c>
      <c r="S1317" s="81" t="s">
        <v>1564</v>
      </c>
      <c r="T1317" s="81" t="s">
        <v>1564</v>
      </c>
      <c r="U1317" s="81" t="s">
        <v>1564</v>
      </c>
      <c r="V1317" s="81" t="s">
        <v>1907</v>
      </c>
      <c r="W1317" s="46">
        <v>1.37</v>
      </c>
      <c r="Z1317" s="46" t="s">
        <v>531</v>
      </c>
      <c r="AD1317" s="46" t="s">
        <v>1511</v>
      </c>
      <c r="AE1317" s="46" t="s">
        <v>159</v>
      </c>
      <c r="AF1317" s="152" t="s">
        <v>159</v>
      </c>
      <c r="AG1317" s="46" t="s">
        <v>160</v>
      </c>
      <c r="AH1317" s="155" t="s">
        <v>160</v>
      </c>
      <c r="AL1317" s="46" t="s">
        <v>188</v>
      </c>
      <c r="AM1317" s="46" t="s">
        <v>188</v>
      </c>
      <c r="AN1317" s="46" t="s">
        <v>212</v>
      </c>
      <c r="AO1317" s="46" t="s">
        <v>1034</v>
      </c>
      <c r="AP1317" s="46">
        <v>0</v>
      </c>
      <c r="AQ1317" s="46" t="s">
        <v>587</v>
      </c>
      <c r="AR1317" s="46" t="s">
        <v>192</v>
      </c>
      <c r="AS1317" s="46">
        <v>4</v>
      </c>
      <c r="AT1317" s="46">
        <v>4</v>
      </c>
      <c r="AU1317" s="46" t="s">
        <v>169</v>
      </c>
      <c r="AZ1317" s="46" t="s">
        <v>1038</v>
      </c>
      <c r="BD1317" s="46">
        <v>7997</v>
      </c>
      <c r="BE1317" s="46">
        <v>7827</v>
      </c>
      <c r="BG1317" s="46">
        <v>1.41</v>
      </c>
      <c r="BH1317" s="46">
        <v>1.427</v>
      </c>
      <c r="BJ1317" s="46">
        <v>0.186</v>
      </c>
      <c r="BK1317" s="46">
        <v>0.193</v>
      </c>
      <c r="BL1317" s="46" t="s">
        <v>1043</v>
      </c>
      <c r="CH1317" s="46">
        <v>24.64</v>
      </c>
      <c r="CI1317" s="46">
        <v>35.22</v>
      </c>
      <c r="CJ1317" s="46" t="s">
        <v>1040</v>
      </c>
      <c r="CK1317" s="46">
        <v>1.76</v>
      </c>
      <c r="CL1317" s="46">
        <v>10.68</v>
      </c>
      <c r="CM1317" s="46" t="s">
        <v>1051</v>
      </c>
      <c r="CQ1317" s="46">
        <f>0.3*3600</f>
        <v>1080</v>
      </c>
      <c r="CR1317" s="46">
        <f>0.307*3600</f>
        <v>1105.2</v>
      </c>
      <c r="CS1317" s="46" t="s">
        <v>1045</v>
      </c>
      <c r="CT1317" s="46">
        <f>0.0084*360</f>
        <v>3.024</v>
      </c>
      <c r="CU1317" s="46">
        <f>0.0044*360</f>
        <v>1.5840000000000001</v>
      </c>
      <c r="CV1317" s="46" t="s">
        <v>1050</v>
      </c>
      <c r="FT1317" s="46">
        <v>60</v>
      </c>
    </row>
    <row r="1318" spans="1:176" x14ac:dyDescent="0.25">
      <c r="A1318" s="46">
        <v>60</v>
      </c>
      <c r="B1318" s="46" t="s">
        <v>1030</v>
      </c>
      <c r="C1318" s="46" t="s">
        <v>1031</v>
      </c>
      <c r="D1318" s="46">
        <v>2012</v>
      </c>
      <c r="E1318" s="46">
        <v>2006</v>
      </c>
      <c r="F1318" s="46" t="s">
        <v>180</v>
      </c>
      <c r="G1318" s="46" t="s">
        <v>1032</v>
      </c>
      <c r="H1318" s="46">
        <f t="shared" si="236"/>
        <v>38.616666666666667</v>
      </c>
      <c r="I1318" s="46">
        <f t="shared" si="237"/>
        <v>-76.733333333333334</v>
      </c>
      <c r="J1318" s="46">
        <v>25.4</v>
      </c>
      <c r="P1318" s="81">
        <v>2</v>
      </c>
      <c r="Q1318" s="81" t="s">
        <v>994</v>
      </c>
      <c r="R1318" s="81" t="s">
        <v>1035</v>
      </c>
      <c r="S1318" s="81" t="s">
        <v>1564</v>
      </c>
      <c r="T1318" s="81" t="s">
        <v>1564</v>
      </c>
      <c r="U1318" s="81" t="s">
        <v>1564</v>
      </c>
      <c r="V1318" s="81" t="s">
        <v>1907</v>
      </c>
      <c r="W1318" s="46">
        <v>1.37</v>
      </c>
      <c r="Z1318" s="46" t="s">
        <v>531</v>
      </c>
      <c r="AD1318" s="46" t="s">
        <v>1511</v>
      </c>
      <c r="AE1318" s="46" t="s">
        <v>159</v>
      </c>
      <c r="AF1318" s="152" t="s">
        <v>159</v>
      </c>
      <c r="AG1318" s="46" t="s">
        <v>160</v>
      </c>
      <c r="AH1318" s="155" t="s">
        <v>160</v>
      </c>
      <c r="AL1318" s="46" t="s">
        <v>188</v>
      </c>
      <c r="AM1318" s="46" t="s">
        <v>188</v>
      </c>
      <c r="AN1318" s="46" t="s">
        <v>212</v>
      </c>
      <c r="AO1318" s="46" t="s">
        <v>1034</v>
      </c>
      <c r="AP1318" s="46">
        <v>0</v>
      </c>
      <c r="AQ1318" s="46" t="s">
        <v>587</v>
      </c>
      <c r="AR1318" s="46" t="s">
        <v>192</v>
      </c>
      <c r="AS1318" s="46">
        <v>4</v>
      </c>
      <c r="AT1318" s="46">
        <v>4</v>
      </c>
      <c r="AU1318" s="46" t="s">
        <v>169</v>
      </c>
      <c r="AZ1318" s="46" t="s">
        <v>1037</v>
      </c>
      <c r="BD1318" s="46">
        <v>7997</v>
      </c>
      <c r="BE1318" s="46">
        <v>7827</v>
      </c>
      <c r="BG1318" s="46">
        <v>1.4</v>
      </c>
      <c r="BH1318" s="46">
        <v>1.258</v>
      </c>
      <c r="BJ1318" s="46">
        <v>0.17599999999999999</v>
      </c>
      <c r="BK1318" s="46">
        <v>0.185</v>
      </c>
      <c r="BL1318" s="46" t="s">
        <v>1043</v>
      </c>
      <c r="CH1318" s="46">
        <v>42.71</v>
      </c>
      <c r="CI1318" s="46">
        <v>60.16</v>
      </c>
      <c r="CJ1318" s="46" t="s">
        <v>1040</v>
      </c>
      <c r="CK1318" s="46">
        <v>2.87</v>
      </c>
      <c r="CL1318" s="46">
        <v>3.99</v>
      </c>
      <c r="CM1318" s="46" t="s">
        <v>1051</v>
      </c>
      <c r="CQ1318" s="46">
        <f>0.023*3600</f>
        <v>82.8</v>
      </c>
      <c r="CR1318" s="46">
        <f>0.0833*3600</f>
        <v>299.88</v>
      </c>
      <c r="CS1318" s="46" t="s">
        <v>1045</v>
      </c>
      <c r="CT1318" s="46">
        <f>0.00037*360</f>
        <v>0.13319999999999999</v>
      </c>
      <c r="CU1318" s="46">
        <f>0.0023*360</f>
        <v>0.82799999999999996</v>
      </c>
      <c r="CV1318" s="46" t="s">
        <v>1050</v>
      </c>
      <c r="FT1318" s="46">
        <v>60</v>
      </c>
    </row>
    <row r="1319" spans="1:176" x14ac:dyDescent="0.25">
      <c r="A1319" s="46">
        <v>60</v>
      </c>
      <c r="B1319" s="46" t="s">
        <v>1030</v>
      </c>
      <c r="C1319" s="46" t="s">
        <v>1031</v>
      </c>
      <c r="D1319" s="46">
        <v>2012</v>
      </c>
      <c r="E1319" s="46">
        <v>2006</v>
      </c>
      <c r="F1319" s="46" t="s">
        <v>180</v>
      </c>
      <c r="G1319" s="46" t="s">
        <v>1032</v>
      </c>
      <c r="H1319" s="46">
        <f t="shared" si="236"/>
        <v>38.616666666666667</v>
      </c>
      <c r="I1319" s="46">
        <f t="shared" si="237"/>
        <v>-76.733333333333334</v>
      </c>
      <c r="J1319" s="46">
        <v>25.4</v>
      </c>
      <c r="P1319" s="81">
        <v>2</v>
      </c>
      <c r="Q1319" s="81" t="s">
        <v>994</v>
      </c>
      <c r="R1319" s="81" t="s">
        <v>1035</v>
      </c>
      <c r="S1319" s="81" t="s">
        <v>1564</v>
      </c>
      <c r="T1319" s="81" t="s">
        <v>1564</v>
      </c>
      <c r="U1319" s="81" t="s">
        <v>1564</v>
      </c>
      <c r="V1319" s="81" t="s">
        <v>1907</v>
      </c>
      <c r="W1319" s="46">
        <v>1.37</v>
      </c>
      <c r="Z1319" s="46" t="s">
        <v>531</v>
      </c>
      <c r="AD1319" s="46" t="s">
        <v>1511</v>
      </c>
      <c r="AE1319" s="46" t="s">
        <v>159</v>
      </c>
      <c r="AF1319" s="152" t="s">
        <v>159</v>
      </c>
      <c r="AG1319" s="46" t="s">
        <v>160</v>
      </c>
      <c r="AH1319" s="155" t="s">
        <v>160</v>
      </c>
      <c r="AL1319" s="46" t="s">
        <v>188</v>
      </c>
      <c r="AM1319" s="46" t="s">
        <v>188</v>
      </c>
      <c r="AN1319" s="46" t="s">
        <v>212</v>
      </c>
      <c r="AO1319" s="46" t="s">
        <v>1034</v>
      </c>
      <c r="AP1319" s="46">
        <v>0</v>
      </c>
      <c r="AQ1319" s="46" t="s">
        <v>587</v>
      </c>
      <c r="AR1319" s="46" t="s">
        <v>192</v>
      </c>
      <c r="AS1319" s="46">
        <v>4</v>
      </c>
      <c r="AT1319" s="46">
        <v>4</v>
      </c>
      <c r="AU1319" s="46" t="s">
        <v>169</v>
      </c>
      <c r="AZ1319" s="46" t="s">
        <v>1038</v>
      </c>
      <c r="BD1319" s="46">
        <v>7997</v>
      </c>
      <c r="BE1319" s="46">
        <v>7827</v>
      </c>
      <c r="BG1319" s="46">
        <v>1.4</v>
      </c>
      <c r="BH1319" s="46">
        <v>1.258</v>
      </c>
      <c r="BJ1319" s="46">
        <v>0.188</v>
      </c>
      <c r="BK1319" s="46">
        <v>0.184</v>
      </c>
      <c r="BL1319" s="46" t="s">
        <v>1043</v>
      </c>
      <c r="CH1319" s="46">
        <v>33.700000000000003</v>
      </c>
      <c r="CI1319" s="46">
        <v>48.75</v>
      </c>
      <c r="CJ1319" s="46" t="s">
        <v>1040</v>
      </c>
      <c r="CK1319" s="46">
        <v>1.28</v>
      </c>
      <c r="CL1319" s="46">
        <v>4.7</v>
      </c>
      <c r="CM1319" s="46" t="s">
        <v>1051</v>
      </c>
      <c r="FT1319" s="46">
        <v>60</v>
      </c>
    </row>
    <row r="1320" spans="1:176" s="102" customFormat="1" x14ac:dyDescent="0.25">
      <c r="A1320" s="102">
        <v>60</v>
      </c>
      <c r="B1320" s="102" t="s">
        <v>1030</v>
      </c>
      <c r="C1320" s="102" t="s">
        <v>1031</v>
      </c>
      <c r="D1320" s="102">
        <v>2012</v>
      </c>
      <c r="E1320" s="102">
        <v>2005</v>
      </c>
      <c r="F1320" s="102" t="s">
        <v>180</v>
      </c>
      <c r="G1320" s="102" t="s">
        <v>1032</v>
      </c>
      <c r="H1320" s="102">
        <f t="shared" si="236"/>
        <v>38.616666666666667</v>
      </c>
      <c r="I1320" s="102">
        <f t="shared" si="237"/>
        <v>-76.733333333333334</v>
      </c>
      <c r="J1320" s="102">
        <v>25.4</v>
      </c>
      <c r="P1320" s="103">
        <v>1</v>
      </c>
      <c r="Q1320" s="103" t="s">
        <v>994</v>
      </c>
      <c r="R1320" s="103" t="s">
        <v>1035</v>
      </c>
      <c r="S1320" s="103" t="s">
        <v>1564</v>
      </c>
      <c r="T1320" s="103" t="s">
        <v>1564</v>
      </c>
      <c r="U1320" s="103" t="s">
        <v>1564</v>
      </c>
      <c r="V1320" s="81" t="s">
        <v>1907</v>
      </c>
      <c r="W1320" s="102">
        <v>1.37</v>
      </c>
      <c r="Z1320" s="102" t="s">
        <v>531</v>
      </c>
      <c r="AD1320" s="46" t="s">
        <v>1511</v>
      </c>
      <c r="AE1320" s="102" t="s">
        <v>159</v>
      </c>
      <c r="AF1320" s="152" t="s">
        <v>159</v>
      </c>
      <c r="AG1320" s="102" t="s">
        <v>160</v>
      </c>
      <c r="AH1320" s="158" t="s">
        <v>160</v>
      </c>
      <c r="AL1320" s="102" t="s">
        <v>188</v>
      </c>
      <c r="AM1320" s="102" t="s">
        <v>188</v>
      </c>
      <c r="AN1320" s="102" t="s">
        <v>212</v>
      </c>
      <c r="AO1320" s="102" t="s">
        <v>1034</v>
      </c>
      <c r="AP1320" s="102">
        <v>0</v>
      </c>
      <c r="AQ1320" s="102" t="s">
        <v>587</v>
      </c>
      <c r="AR1320" s="102" t="s">
        <v>192</v>
      </c>
      <c r="AS1320" s="102">
        <v>4</v>
      </c>
      <c r="AT1320" s="102">
        <v>4</v>
      </c>
      <c r="AU1320" s="102" t="s">
        <v>169</v>
      </c>
      <c r="AZ1320" s="102" t="s">
        <v>1037</v>
      </c>
      <c r="BD1320" s="46">
        <v>7997</v>
      </c>
      <c r="BE1320" s="46">
        <v>7827</v>
      </c>
      <c r="BG1320" s="102">
        <v>1.41</v>
      </c>
      <c r="BH1320" s="102">
        <v>1.381</v>
      </c>
      <c r="BJ1320" s="102">
        <f>44.12/100</f>
        <v>0.44119999999999998</v>
      </c>
      <c r="BK1320" s="102">
        <f>48.28/100</f>
        <v>0.48280000000000001</v>
      </c>
      <c r="BL1320" s="102" t="s">
        <v>1311</v>
      </c>
      <c r="CH1320" s="102">
        <v>41.91</v>
      </c>
      <c r="CI1320" s="102">
        <v>60.18</v>
      </c>
      <c r="CJ1320" s="102" t="s">
        <v>1039</v>
      </c>
      <c r="CQ1320" s="102">
        <v>5040</v>
      </c>
      <c r="CR1320" s="102">
        <f>4.02*3600</f>
        <v>14471.999999999998</v>
      </c>
      <c r="CS1320" s="102" t="s">
        <v>1046</v>
      </c>
      <c r="CT1320" s="102">
        <f>0.064*360</f>
        <v>23.04</v>
      </c>
      <c r="CU1320" s="102">
        <f>0.175*360</f>
        <v>62.999999999999993</v>
      </c>
      <c r="CV1320" s="102" t="s">
        <v>1050</v>
      </c>
      <c r="FR1320" s="102" t="s">
        <v>1044</v>
      </c>
      <c r="FT1320" s="102">
        <v>60</v>
      </c>
    </row>
    <row r="1321" spans="1:176" s="102" customFormat="1" x14ac:dyDescent="0.25">
      <c r="A1321" s="102">
        <v>60</v>
      </c>
      <c r="B1321" s="102" t="s">
        <v>1030</v>
      </c>
      <c r="C1321" s="102" t="s">
        <v>1031</v>
      </c>
      <c r="D1321" s="102">
        <v>2012</v>
      </c>
      <c r="E1321" s="102">
        <v>2005</v>
      </c>
      <c r="F1321" s="102" t="s">
        <v>180</v>
      </c>
      <c r="G1321" s="102" t="s">
        <v>1032</v>
      </c>
      <c r="H1321" s="102">
        <f t="shared" si="236"/>
        <v>38.616666666666667</v>
      </c>
      <c r="I1321" s="102">
        <f t="shared" si="237"/>
        <v>-76.733333333333334</v>
      </c>
      <c r="J1321" s="102">
        <v>25.4</v>
      </c>
      <c r="P1321" s="103">
        <v>1</v>
      </c>
      <c r="Q1321" s="103" t="s">
        <v>994</v>
      </c>
      <c r="R1321" s="103" t="s">
        <v>1035</v>
      </c>
      <c r="S1321" s="103" t="s">
        <v>1564</v>
      </c>
      <c r="T1321" s="103" t="s">
        <v>1564</v>
      </c>
      <c r="U1321" s="103" t="s">
        <v>1564</v>
      </c>
      <c r="V1321" s="81" t="s">
        <v>1907</v>
      </c>
      <c r="W1321" s="102">
        <v>1.37</v>
      </c>
      <c r="Z1321" s="102" t="s">
        <v>531</v>
      </c>
      <c r="AD1321" s="46" t="s">
        <v>1511</v>
      </c>
      <c r="AE1321" s="102" t="s">
        <v>159</v>
      </c>
      <c r="AF1321" s="152" t="s">
        <v>159</v>
      </c>
      <c r="AG1321" s="102" t="s">
        <v>160</v>
      </c>
      <c r="AH1321" s="158" t="s">
        <v>160</v>
      </c>
      <c r="AL1321" s="102" t="s">
        <v>188</v>
      </c>
      <c r="AM1321" s="102" t="s">
        <v>188</v>
      </c>
      <c r="AN1321" s="102" t="s">
        <v>212</v>
      </c>
      <c r="AO1321" s="102" t="s">
        <v>1034</v>
      </c>
      <c r="AP1321" s="102">
        <v>0</v>
      </c>
      <c r="AQ1321" s="102" t="s">
        <v>587</v>
      </c>
      <c r="AR1321" s="102" t="s">
        <v>192</v>
      </c>
      <c r="AS1321" s="102">
        <v>4</v>
      </c>
      <c r="AT1321" s="102">
        <v>4</v>
      </c>
      <c r="AU1321" s="102" t="s">
        <v>169</v>
      </c>
      <c r="AZ1321" s="102" t="s">
        <v>1038</v>
      </c>
      <c r="BD1321" s="46">
        <v>7997</v>
      </c>
      <c r="BE1321" s="46">
        <v>7827</v>
      </c>
      <c r="BG1321" s="102">
        <v>1.41</v>
      </c>
      <c r="BH1321" s="102">
        <v>1.381</v>
      </c>
      <c r="BJ1321" s="102">
        <f>42.86/100</f>
        <v>0.42859999999999998</v>
      </c>
      <c r="BK1321" s="102">
        <f>55.85/100</f>
        <v>0.5585</v>
      </c>
      <c r="BL1321" s="102" t="s">
        <v>1311</v>
      </c>
      <c r="CH1321" s="102">
        <v>34.14</v>
      </c>
      <c r="CI1321" s="102">
        <v>47.17</v>
      </c>
      <c r="CJ1321" s="102" t="s">
        <v>1039</v>
      </c>
      <c r="CQ1321" s="102">
        <f>0.185*3600</f>
        <v>666</v>
      </c>
      <c r="CR1321" s="102">
        <f>0.093*3600</f>
        <v>334.8</v>
      </c>
      <c r="CS1321" s="102" t="s">
        <v>1046</v>
      </c>
      <c r="CT1321" s="102">
        <f>0.0067*360</f>
        <v>2.4119999999999999</v>
      </c>
      <c r="CU1321" s="102">
        <f>0.0031*360</f>
        <v>1.1159999999999999</v>
      </c>
      <c r="CV1321" s="102" t="s">
        <v>1050</v>
      </c>
      <c r="FR1321" s="102" t="s">
        <v>1044</v>
      </c>
      <c r="FT1321" s="102">
        <v>60</v>
      </c>
    </row>
    <row r="1322" spans="1:176" s="102" customFormat="1" x14ac:dyDescent="0.25">
      <c r="A1322" s="102">
        <v>60</v>
      </c>
      <c r="B1322" s="102" t="s">
        <v>1030</v>
      </c>
      <c r="C1322" s="102" t="s">
        <v>1031</v>
      </c>
      <c r="D1322" s="102">
        <v>2012</v>
      </c>
      <c r="E1322" s="102">
        <v>2006</v>
      </c>
      <c r="F1322" s="102" t="s">
        <v>180</v>
      </c>
      <c r="G1322" s="102" t="s">
        <v>1032</v>
      </c>
      <c r="H1322" s="102">
        <f t="shared" si="236"/>
        <v>38.616666666666667</v>
      </c>
      <c r="I1322" s="102">
        <f t="shared" si="237"/>
        <v>-76.733333333333334</v>
      </c>
      <c r="J1322" s="102">
        <v>25.4</v>
      </c>
      <c r="P1322" s="103">
        <v>2</v>
      </c>
      <c r="Q1322" s="103" t="s">
        <v>994</v>
      </c>
      <c r="R1322" s="103" t="s">
        <v>1035</v>
      </c>
      <c r="S1322" s="103" t="s">
        <v>1564</v>
      </c>
      <c r="T1322" s="103" t="s">
        <v>1564</v>
      </c>
      <c r="U1322" s="103" t="s">
        <v>1564</v>
      </c>
      <c r="V1322" s="81" t="s">
        <v>1907</v>
      </c>
      <c r="W1322" s="102">
        <v>1.37</v>
      </c>
      <c r="Z1322" s="102" t="s">
        <v>531</v>
      </c>
      <c r="AD1322" s="46" t="s">
        <v>1511</v>
      </c>
      <c r="AE1322" s="102" t="s">
        <v>159</v>
      </c>
      <c r="AF1322" s="152" t="s">
        <v>159</v>
      </c>
      <c r="AG1322" s="102" t="s">
        <v>160</v>
      </c>
      <c r="AH1322" s="158" t="s">
        <v>160</v>
      </c>
      <c r="AL1322" s="102" t="s">
        <v>188</v>
      </c>
      <c r="AM1322" s="102" t="s">
        <v>188</v>
      </c>
      <c r="AN1322" s="102" t="s">
        <v>212</v>
      </c>
      <c r="AO1322" s="102" t="s">
        <v>1034</v>
      </c>
      <c r="AP1322" s="102">
        <v>0</v>
      </c>
      <c r="AQ1322" s="102" t="s">
        <v>587</v>
      </c>
      <c r="AR1322" s="102" t="s">
        <v>192</v>
      </c>
      <c r="AS1322" s="102">
        <v>4</v>
      </c>
      <c r="AT1322" s="102">
        <v>4</v>
      </c>
      <c r="AU1322" s="102" t="s">
        <v>169</v>
      </c>
      <c r="AZ1322" s="102" t="s">
        <v>1037</v>
      </c>
      <c r="BD1322" s="46">
        <v>7997</v>
      </c>
      <c r="BE1322" s="46">
        <v>7827</v>
      </c>
      <c r="BG1322" s="102">
        <v>1.405</v>
      </c>
      <c r="BH1322" s="102">
        <v>1.2649999999999999</v>
      </c>
      <c r="BJ1322" s="102">
        <f>37.2/100</f>
        <v>0.37200000000000005</v>
      </c>
      <c r="BK1322" s="102">
        <f>39.15/100</f>
        <v>0.39149999999999996</v>
      </c>
      <c r="BL1322" s="102" t="s">
        <v>1311</v>
      </c>
      <c r="CH1322" s="102">
        <v>64.34</v>
      </c>
      <c r="CI1322" s="102">
        <v>78.959999999999994</v>
      </c>
      <c r="CJ1322" s="102" t="s">
        <v>1039</v>
      </c>
      <c r="CQ1322" s="102">
        <f>0.317*3600</f>
        <v>1141.2</v>
      </c>
      <c r="CR1322" s="102">
        <f>1.78*3600</f>
        <v>6408</v>
      </c>
      <c r="CS1322" s="102" t="s">
        <v>1046</v>
      </c>
      <c r="CT1322" s="102">
        <f>0.017*360</f>
        <v>6.12</v>
      </c>
      <c r="CU1322" s="102">
        <f>0.763*360</f>
        <v>274.68</v>
      </c>
      <c r="CV1322" s="102" t="s">
        <v>1050</v>
      </c>
      <c r="FR1322" s="102" t="s">
        <v>1044</v>
      </c>
      <c r="FT1322" s="102">
        <v>60</v>
      </c>
    </row>
    <row r="1323" spans="1:176" s="102" customFormat="1" x14ac:dyDescent="0.25">
      <c r="A1323" s="102">
        <v>60</v>
      </c>
      <c r="B1323" s="102" t="s">
        <v>1030</v>
      </c>
      <c r="C1323" s="102" t="s">
        <v>1031</v>
      </c>
      <c r="D1323" s="102">
        <v>2012</v>
      </c>
      <c r="E1323" s="102">
        <v>2006</v>
      </c>
      <c r="F1323" s="102" t="s">
        <v>180</v>
      </c>
      <c r="G1323" s="102" t="s">
        <v>1032</v>
      </c>
      <c r="H1323" s="102">
        <f t="shared" si="236"/>
        <v>38.616666666666667</v>
      </c>
      <c r="I1323" s="102">
        <f t="shared" si="237"/>
        <v>-76.733333333333334</v>
      </c>
      <c r="J1323" s="102">
        <v>25.4</v>
      </c>
      <c r="P1323" s="103">
        <v>2</v>
      </c>
      <c r="Q1323" s="103" t="s">
        <v>994</v>
      </c>
      <c r="R1323" s="103" t="s">
        <v>1035</v>
      </c>
      <c r="S1323" s="103" t="s">
        <v>1564</v>
      </c>
      <c r="T1323" s="103" t="s">
        <v>1564</v>
      </c>
      <c r="U1323" s="103" t="s">
        <v>1564</v>
      </c>
      <c r="V1323" s="81" t="s">
        <v>1907</v>
      </c>
      <c r="W1323" s="102">
        <v>1.37</v>
      </c>
      <c r="Z1323" s="102" t="s">
        <v>531</v>
      </c>
      <c r="AD1323" s="46" t="s">
        <v>1511</v>
      </c>
      <c r="AE1323" s="102" t="s">
        <v>159</v>
      </c>
      <c r="AF1323" s="152" t="s">
        <v>159</v>
      </c>
      <c r="AG1323" s="102" t="s">
        <v>160</v>
      </c>
      <c r="AH1323" s="158" t="s">
        <v>160</v>
      </c>
      <c r="AL1323" s="102" t="s">
        <v>188</v>
      </c>
      <c r="AM1323" s="102" t="s">
        <v>188</v>
      </c>
      <c r="AN1323" s="102" t="s">
        <v>212</v>
      </c>
      <c r="AO1323" s="102" t="s">
        <v>1034</v>
      </c>
      <c r="AP1323" s="102">
        <v>0</v>
      </c>
      <c r="AQ1323" s="102" t="s">
        <v>587</v>
      </c>
      <c r="AR1323" s="102" t="s">
        <v>192</v>
      </c>
      <c r="AS1323" s="102">
        <v>4</v>
      </c>
      <c r="AT1323" s="102">
        <v>4</v>
      </c>
      <c r="AU1323" s="102" t="s">
        <v>169</v>
      </c>
      <c r="AZ1323" s="102" t="s">
        <v>1038</v>
      </c>
      <c r="BD1323" s="46">
        <v>7997</v>
      </c>
      <c r="BE1323" s="46">
        <v>7827</v>
      </c>
      <c r="BG1323" s="102">
        <v>1.405</v>
      </c>
      <c r="BH1323" s="102">
        <v>1.2649999999999999</v>
      </c>
      <c r="BJ1323" s="102">
        <f>42.32/100</f>
        <v>0.42320000000000002</v>
      </c>
      <c r="BK1323" s="102">
        <f>45.49/100</f>
        <v>0.45490000000000003</v>
      </c>
      <c r="BL1323" s="102" t="s">
        <v>1311</v>
      </c>
      <c r="CH1323" s="102">
        <v>51.72</v>
      </c>
      <c r="CI1323" s="102">
        <v>63.54</v>
      </c>
      <c r="CJ1323" s="102" t="s">
        <v>1039</v>
      </c>
      <c r="FR1323" s="102" t="s">
        <v>1044</v>
      </c>
      <c r="FT1323" s="102">
        <v>60</v>
      </c>
    </row>
    <row r="1324" spans="1:176" s="31" customFormat="1" x14ac:dyDescent="0.25">
      <c r="A1324" s="31">
        <v>60</v>
      </c>
      <c r="B1324" s="31" t="s">
        <v>1030</v>
      </c>
      <c r="C1324" s="31" t="s">
        <v>1031</v>
      </c>
      <c r="D1324" s="31">
        <v>2012</v>
      </c>
      <c r="E1324" s="31">
        <v>2005</v>
      </c>
      <c r="F1324" s="31" t="s">
        <v>180</v>
      </c>
      <c r="G1324" s="31" t="s">
        <v>1033</v>
      </c>
      <c r="H1324" s="31">
        <f t="shared" ref="H1324:H1329" si="238">39+14/60</f>
        <v>39.233333333333334</v>
      </c>
      <c r="I1324" s="31">
        <f t="shared" ref="I1324:I1329" si="239">-76-55/60</f>
        <v>-76.916666666666671</v>
      </c>
      <c r="J1324" s="31">
        <v>109.2</v>
      </c>
      <c r="P1324" s="56">
        <v>1</v>
      </c>
      <c r="Q1324" s="56" t="s">
        <v>994</v>
      </c>
      <c r="R1324" s="56" t="s">
        <v>1036</v>
      </c>
      <c r="S1324" s="56" t="s">
        <v>1564</v>
      </c>
      <c r="T1324" s="56" t="s">
        <v>1564</v>
      </c>
      <c r="U1324" s="56" t="s">
        <v>1564</v>
      </c>
      <c r="V1324" s="56" t="s">
        <v>1907</v>
      </c>
      <c r="W1324" s="31">
        <v>1.21</v>
      </c>
      <c r="Z1324" s="31" t="s">
        <v>531</v>
      </c>
      <c r="AD1324" s="31" t="s">
        <v>1511</v>
      </c>
      <c r="AE1324" s="31" t="s">
        <v>159</v>
      </c>
      <c r="AF1324" s="152" t="s">
        <v>159</v>
      </c>
      <c r="AG1324" s="31" t="s">
        <v>160</v>
      </c>
      <c r="AH1324" s="155" t="s">
        <v>160</v>
      </c>
      <c r="AL1324" s="31" t="s">
        <v>188</v>
      </c>
      <c r="AM1324" s="31" t="s">
        <v>188</v>
      </c>
      <c r="AN1324" s="31" t="s">
        <v>212</v>
      </c>
      <c r="AO1324" s="31" t="s">
        <v>1034</v>
      </c>
      <c r="AP1324" s="31">
        <v>0</v>
      </c>
      <c r="AQ1324" s="31" t="s">
        <v>587</v>
      </c>
      <c r="AR1324" s="31" t="s">
        <v>192</v>
      </c>
      <c r="AS1324" s="31">
        <v>4</v>
      </c>
      <c r="AT1324" s="31">
        <v>4</v>
      </c>
      <c r="AU1324" s="31" t="s">
        <v>169</v>
      </c>
      <c r="AZ1324" s="31" t="s">
        <v>1037</v>
      </c>
      <c r="BD1324" s="31">
        <v>7997</v>
      </c>
      <c r="BE1324" s="31">
        <v>7827</v>
      </c>
      <c r="BG1324" s="31">
        <v>1.208</v>
      </c>
      <c r="BH1324" s="31">
        <v>1.22</v>
      </c>
      <c r="BJ1324" s="31">
        <v>0.23400000000000001</v>
      </c>
      <c r="BK1324" s="31">
        <v>0.25</v>
      </c>
      <c r="BL1324" s="31" t="s">
        <v>1043</v>
      </c>
      <c r="CH1324" s="31">
        <v>55.21</v>
      </c>
      <c r="CI1324" s="31">
        <v>66.87</v>
      </c>
      <c r="CJ1324" s="31" t="s">
        <v>1040</v>
      </c>
      <c r="CK1324" s="31">
        <v>7.05</v>
      </c>
      <c r="CL1324" s="31">
        <v>4.03</v>
      </c>
      <c r="CM1324" s="31" t="s">
        <v>1051</v>
      </c>
      <c r="CQ1324" s="31">
        <f>0.87*3600</f>
        <v>3132</v>
      </c>
      <c r="CR1324" s="31">
        <f>2.3*3600</f>
        <v>8280</v>
      </c>
      <c r="CS1324" s="31" t="s">
        <v>1047</v>
      </c>
      <c r="CT1324" s="31">
        <f>0.083*360</f>
        <v>29.880000000000003</v>
      </c>
      <c r="CU1324" s="31">
        <f>0.0097*360</f>
        <v>3.492</v>
      </c>
      <c r="CV1324" s="31" t="s">
        <v>1050</v>
      </c>
      <c r="FT1324" s="31">
        <v>60</v>
      </c>
    </row>
    <row r="1325" spans="1:176" s="31" customFormat="1" x14ac:dyDescent="0.25">
      <c r="A1325" s="31">
        <v>60</v>
      </c>
      <c r="B1325" s="31" t="s">
        <v>1030</v>
      </c>
      <c r="C1325" s="31" t="s">
        <v>1031</v>
      </c>
      <c r="D1325" s="31">
        <v>2012</v>
      </c>
      <c r="E1325" s="31">
        <v>2005</v>
      </c>
      <c r="F1325" s="31" t="s">
        <v>180</v>
      </c>
      <c r="G1325" s="31" t="s">
        <v>1033</v>
      </c>
      <c r="H1325" s="31">
        <f t="shared" si="238"/>
        <v>39.233333333333334</v>
      </c>
      <c r="I1325" s="31">
        <f t="shared" si="239"/>
        <v>-76.916666666666671</v>
      </c>
      <c r="J1325" s="31">
        <v>109.2</v>
      </c>
      <c r="P1325" s="56">
        <v>1</v>
      </c>
      <c r="Q1325" s="56" t="s">
        <v>994</v>
      </c>
      <c r="R1325" s="56" t="s">
        <v>1036</v>
      </c>
      <c r="S1325" s="56" t="s">
        <v>1564</v>
      </c>
      <c r="T1325" s="56" t="s">
        <v>1564</v>
      </c>
      <c r="U1325" s="56" t="s">
        <v>1564</v>
      </c>
      <c r="V1325" s="56" t="s">
        <v>1907</v>
      </c>
      <c r="W1325" s="31">
        <v>1.21</v>
      </c>
      <c r="Z1325" s="31" t="s">
        <v>531</v>
      </c>
      <c r="AD1325" s="31" t="s">
        <v>1511</v>
      </c>
      <c r="AE1325" s="31" t="s">
        <v>159</v>
      </c>
      <c r="AF1325" s="152" t="s">
        <v>159</v>
      </c>
      <c r="AG1325" s="31" t="s">
        <v>160</v>
      </c>
      <c r="AH1325" s="155" t="s">
        <v>160</v>
      </c>
      <c r="AL1325" s="31" t="s">
        <v>188</v>
      </c>
      <c r="AM1325" s="31" t="s">
        <v>188</v>
      </c>
      <c r="AN1325" s="31" t="s">
        <v>212</v>
      </c>
      <c r="AO1325" s="31" t="s">
        <v>1034</v>
      </c>
      <c r="AP1325" s="31">
        <v>0</v>
      </c>
      <c r="AQ1325" s="31" t="s">
        <v>587</v>
      </c>
      <c r="AR1325" s="31" t="s">
        <v>192</v>
      </c>
      <c r="AS1325" s="31">
        <v>4</v>
      </c>
      <c r="AT1325" s="31">
        <v>4</v>
      </c>
      <c r="AU1325" s="31" t="s">
        <v>169</v>
      </c>
      <c r="AZ1325" s="31" t="s">
        <v>1038</v>
      </c>
      <c r="BD1325" s="31">
        <v>7997</v>
      </c>
      <c r="BE1325" s="31">
        <v>7827</v>
      </c>
      <c r="BG1325" s="31">
        <v>1.208</v>
      </c>
      <c r="BH1325" s="31">
        <v>1.22</v>
      </c>
      <c r="BJ1325" s="31">
        <v>0.23799999999999999</v>
      </c>
      <c r="BK1325" s="31">
        <v>0.25</v>
      </c>
      <c r="BL1325" s="31" t="s">
        <v>1043</v>
      </c>
      <c r="CH1325" s="31">
        <v>24.64</v>
      </c>
      <c r="CI1325" s="31">
        <v>33.200000000000003</v>
      </c>
      <c r="CJ1325" s="31" t="s">
        <v>1040</v>
      </c>
      <c r="CK1325" s="31">
        <v>2.64</v>
      </c>
      <c r="CL1325" s="31">
        <v>9.4600000000000009</v>
      </c>
      <c r="CM1325" s="31" t="s">
        <v>1051</v>
      </c>
      <c r="CQ1325" s="31">
        <f>2.32*3600</f>
        <v>8352</v>
      </c>
      <c r="CR1325" s="31">
        <f>4.5*3600</f>
        <v>16200</v>
      </c>
      <c r="CS1325" s="31" t="s">
        <v>1047</v>
      </c>
      <c r="CT1325" s="31">
        <f>0.109*360</f>
        <v>39.24</v>
      </c>
      <c r="CU1325" s="31">
        <f>0.119*360</f>
        <v>42.839999999999996</v>
      </c>
      <c r="CV1325" s="31" t="s">
        <v>1050</v>
      </c>
      <c r="FT1325" s="31">
        <v>60</v>
      </c>
    </row>
    <row r="1326" spans="1:176" s="31" customFormat="1" x14ac:dyDescent="0.25">
      <c r="A1326" s="31">
        <v>60</v>
      </c>
      <c r="B1326" s="31" t="s">
        <v>1030</v>
      </c>
      <c r="C1326" s="31" t="s">
        <v>1031</v>
      </c>
      <c r="D1326" s="31">
        <v>2012</v>
      </c>
      <c r="E1326" s="31">
        <v>2006</v>
      </c>
      <c r="F1326" s="31" t="s">
        <v>180</v>
      </c>
      <c r="G1326" s="31" t="s">
        <v>1033</v>
      </c>
      <c r="H1326" s="31">
        <f t="shared" si="238"/>
        <v>39.233333333333334</v>
      </c>
      <c r="I1326" s="31">
        <f t="shared" si="239"/>
        <v>-76.916666666666671</v>
      </c>
      <c r="J1326" s="31">
        <v>109.2</v>
      </c>
      <c r="P1326" s="56">
        <v>2</v>
      </c>
      <c r="Q1326" s="56" t="s">
        <v>994</v>
      </c>
      <c r="R1326" s="56" t="s">
        <v>1036</v>
      </c>
      <c r="S1326" s="56" t="s">
        <v>1564</v>
      </c>
      <c r="T1326" s="56" t="s">
        <v>1564</v>
      </c>
      <c r="U1326" s="56" t="s">
        <v>1564</v>
      </c>
      <c r="V1326" s="56" t="s">
        <v>1907</v>
      </c>
      <c r="W1326" s="31">
        <v>1.21</v>
      </c>
      <c r="Z1326" s="31" t="s">
        <v>531</v>
      </c>
      <c r="AD1326" s="31" t="s">
        <v>1511</v>
      </c>
      <c r="AE1326" s="31" t="s">
        <v>159</v>
      </c>
      <c r="AF1326" s="152" t="s">
        <v>159</v>
      </c>
      <c r="AG1326" s="31" t="s">
        <v>160</v>
      </c>
      <c r="AH1326" s="155" t="s">
        <v>160</v>
      </c>
      <c r="AL1326" s="31" t="s">
        <v>188</v>
      </c>
      <c r="AM1326" s="31" t="s">
        <v>188</v>
      </c>
      <c r="AN1326" s="31" t="s">
        <v>212</v>
      </c>
      <c r="AO1326" s="31" t="s">
        <v>1034</v>
      </c>
      <c r="AP1326" s="31">
        <v>0</v>
      </c>
      <c r="AQ1326" s="31" t="s">
        <v>587</v>
      </c>
      <c r="AR1326" s="31" t="s">
        <v>192</v>
      </c>
      <c r="AS1326" s="31">
        <v>4</v>
      </c>
      <c r="AT1326" s="31">
        <v>4</v>
      </c>
      <c r="AU1326" s="31" t="s">
        <v>169</v>
      </c>
      <c r="AZ1326" s="31" t="s">
        <v>1037</v>
      </c>
      <c r="BD1326" s="31">
        <v>7997</v>
      </c>
      <c r="BE1326" s="31">
        <v>7827</v>
      </c>
      <c r="BG1326" s="31">
        <v>1.206</v>
      </c>
      <c r="BH1326" s="31">
        <v>1.1599999999999999</v>
      </c>
      <c r="BJ1326" s="31">
        <v>0.23499999999999999</v>
      </c>
      <c r="BK1326" s="31">
        <v>0.23499999999999999</v>
      </c>
      <c r="BL1326" s="31" t="s">
        <v>1043</v>
      </c>
      <c r="CH1326" s="31">
        <v>39.31</v>
      </c>
      <c r="CI1326" s="31">
        <v>44.1</v>
      </c>
      <c r="CJ1326" s="31" t="s">
        <v>1040</v>
      </c>
      <c r="CK1326" s="31">
        <v>7.02</v>
      </c>
      <c r="CL1326" s="31">
        <v>3.42</v>
      </c>
      <c r="CM1326" s="31" t="s">
        <v>1051</v>
      </c>
      <c r="FT1326" s="31">
        <v>60</v>
      </c>
    </row>
    <row r="1327" spans="1:176" s="104" customFormat="1" x14ac:dyDescent="0.25">
      <c r="A1327" s="104">
        <v>60</v>
      </c>
      <c r="B1327" s="104" t="s">
        <v>1030</v>
      </c>
      <c r="C1327" s="104" t="s">
        <v>1031</v>
      </c>
      <c r="D1327" s="104">
        <v>2012</v>
      </c>
      <c r="E1327" s="104">
        <v>2005</v>
      </c>
      <c r="F1327" s="104" t="s">
        <v>180</v>
      </c>
      <c r="G1327" s="104" t="s">
        <v>1033</v>
      </c>
      <c r="H1327" s="104">
        <f t="shared" si="238"/>
        <v>39.233333333333334</v>
      </c>
      <c r="I1327" s="104">
        <f t="shared" si="239"/>
        <v>-76.916666666666671</v>
      </c>
      <c r="J1327" s="104">
        <v>109.2</v>
      </c>
      <c r="P1327" s="105">
        <v>1</v>
      </c>
      <c r="Q1327" s="105" t="s">
        <v>994</v>
      </c>
      <c r="R1327" s="105" t="s">
        <v>1036</v>
      </c>
      <c r="S1327" s="105" t="s">
        <v>1564</v>
      </c>
      <c r="T1327" s="105" t="s">
        <v>1564</v>
      </c>
      <c r="U1327" s="105" t="s">
        <v>1564</v>
      </c>
      <c r="V1327" s="56" t="s">
        <v>1907</v>
      </c>
      <c r="W1327" s="104">
        <v>1.21</v>
      </c>
      <c r="Z1327" s="104" t="s">
        <v>531</v>
      </c>
      <c r="AD1327" s="104" t="s">
        <v>1511</v>
      </c>
      <c r="AE1327" s="104" t="s">
        <v>159</v>
      </c>
      <c r="AF1327" s="152" t="s">
        <v>159</v>
      </c>
      <c r="AG1327" s="104" t="s">
        <v>160</v>
      </c>
      <c r="AH1327" s="158" t="s">
        <v>160</v>
      </c>
      <c r="AL1327" s="104" t="s">
        <v>188</v>
      </c>
      <c r="AM1327" s="104" t="s">
        <v>188</v>
      </c>
      <c r="AN1327" s="104" t="s">
        <v>212</v>
      </c>
      <c r="AO1327" s="104" t="s">
        <v>1034</v>
      </c>
      <c r="AP1327" s="104">
        <v>0</v>
      </c>
      <c r="AQ1327" s="104" t="s">
        <v>587</v>
      </c>
      <c r="AR1327" s="104" t="s">
        <v>192</v>
      </c>
      <c r="AS1327" s="104">
        <v>4</v>
      </c>
      <c r="AT1327" s="104">
        <v>4</v>
      </c>
      <c r="AU1327" s="104" t="s">
        <v>169</v>
      </c>
      <c r="AZ1327" s="104" t="s">
        <v>1037</v>
      </c>
      <c r="BD1327" s="104">
        <v>7997</v>
      </c>
      <c r="BE1327" s="104">
        <v>7827</v>
      </c>
      <c r="BG1327" s="104">
        <v>1.2050000000000001</v>
      </c>
      <c r="BH1327" s="104">
        <v>1.22</v>
      </c>
      <c r="BJ1327" s="104">
        <f>43.19/100</f>
        <v>0.43189999999999995</v>
      </c>
      <c r="BK1327" s="104">
        <f>44.5/100</f>
        <v>0.44500000000000001</v>
      </c>
      <c r="BL1327" s="104" t="s">
        <v>1311</v>
      </c>
      <c r="CH1327" s="104">
        <v>73.38</v>
      </c>
      <c r="CI1327" s="104">
        <v>80.430000000000007</v>
      </c>
      <c r="CJ1327" s="104" t="s">
        <v>1039</v>
      </c>
      <c r="FR1327" s="104" t="s">
        <v>1044</v>
      </c>
      <c r="FT1327" s="104">
        <v>60</v>
      </c>
    </row>
    <row r="1328" spans="1:176" s="104" customFormat="1" x14ac:dyDescent="0.25">
      <c r="A1328" s="104">
        <v>60</v>
      </c>
      <c r="B1328" s="104" t="s">
        <v>1030</v>
      </c>
      <c r="C1328" s="104" t="s">
        <v>1031</v>
      </c>
      <c r="D1328" s="104">
        <v>2012</v>
      </c>
      <c r="E1328" s="104">
        <v>2005</v>
      </c>
      <c r="F1328" s="104" t="s">
        <v>180</v>
      </c>
      <c r="G1328" s="104" t="s">
        <v>1033</v>
      </c>
      <c r="H1328" s="104">
        <f t="shared" si="238"/>
        <v>39.233333333333334</v>
      </c>
      <c r="I1328" s="104">
        <f t="shared" si="239"/>
        <v>-76.916666666666671</v>
      </c>
      <c r="J1328" s="104">
        <v>109.2</v>
      </c>
      <c r="P1328" s="105">
        <v>1</v>
      </c>
      <c r="Q1328" s="105" t="s">
        <v>994</v>
      </c>
      <c r="R1328" s="105" t="s">
        <v>1036</v>
      </c>
      <c r="S1328" s="105" t="s">
        <v>1564</v>
      </c>
      <c r="T1328" s="105" t="s">
        <v>1564</v>
      </c>
      <c r="U1328" s="105" t="s">
        <v>1564</v>
      </c>
      <c r="V1328" s="56" t="s">
        <v>1907</v>
      </c>
      <c r="W1328" s="104">
        <v>1.21</v>
      </c>
      <c r="Z1328" s="104" t="s">
        <v>531</v>
      </c>
      <c r="AD1328" s="104" t="s">
        <v>1511</v>
      </c>
      <c r="AE1328" s="104" t="s">
        <v>159</v>
      </c>
      <c r="AF1328" s="152" t="s">
        <v>159</v>
      </c>
      <c r="AG1328" s="104" t="s">
        <v>160</v>
      </c>
      <c r="AH1328" s="158" t="s">
        <v>160</v>
      </c>
      <c r="AL1328" s="104" t="s">
        <v>188</v>
      </c>
      <c r="AM1328" s="104" t="s">
        <v>188</v>
      </c>
      <c r="AN1328" s="104" t="s">
        <v>212</v>
      </c>
      <c r="AO1328" s="104" t="s">
        <v>1034</v>
      </c>
      <c r="AP1328" s="104">
        <v>0</v>
      </c>
      <c r="AQ1328" s="104" t="s">
        <v>587</v>
      </c>
      <c r="AR1328" s="104" t="s">
        <v>192</v>
      </c>
      <c r="AS1328" s="104">
        <v>4</v>
      </c>
      <c r="AT1328" s="104">
        <v>4</v>
      </c>
      <c r="AU1328" s="104" t="s">
        <v>169</v>
      </c>
      <c r="AZ1328" s="104" t="s">
        <v>1038</v>
      </c>
      <c r="BD1328" s="104">
        <v>7997</v>
      </c>
      <c r="BE1328" s="104">
        <v>7827</v>
      </c>
      <c r="BG1328" s="104">
        <v>1.2050000000000001</v>
      </c>
      <c r="BH1328" s="104">
        <v>1.22</v>
      </c>
      <c r="BJ1328" s="104">
        <f>48.69/100</f>
        <v>0.4869</v>
      </c>
      <c r="BK1328" s="104">
        <f>51.31/100</f>
        <v>0.5131</v>
      </c>
      <c r="BL1328" s="104" t="s">
        <v>1311</v>
      </c>
      <c r="CH1328" s="104">
        <v>51.65</v>
      </c>
      <c r="CI1328" s="104">
        <v>59.7</v>
      </c>
      <c r="CJ1328" s="104" t="s">
        <v>1039</v>
      </c>
      <c r="FR1328" s="104" t="s">
        <v>1044</v>
      </c>
      <c r="FT1328" s="104">
        <v>60</v>
      </c>
    </row>
    <row r="1329" spans="1:176" s="104" customFormat="1" x14ac:dyDescent="0.25">
      <c r="A1329" s="104">
        <v>60</v>
      </c>
      <c r="B1329" s="104" t="s">
        <v>1030</v>
      </c>
      <c r="C1329" s="104" t="s">
        <v>1031</v>
      </c>
      <c r="D1329" s="104">
        <v>2012</v>
      </c>
      <c r="E1329" s="104">
        <v>2006</v>
      </c>
      <c r="F1329" s="104" t="s">
        <v>180</v>
      </c>
      <c r="G1329" s="104" t="s">
        <v>1033</v>
      </c>
      <c r="H1329" s="104">
        <f t="shared" si="238"/>
        <v>39.233333333333334</v>
      </c>
      <c r="I1329" s="104">
        <f t="shared" si="239"/>
        <v>-76.916666666666671</v>
      </c>
      <c r="J1329" s="104">
        <v>109.2</v>
      </c>
      <c r="P1329" s="105">
        <v>2</v>
      </c>
      <c r="Q1329" s="105" t="s">
        <v>994</v>
      </c>
      <c r="R1329" s="105" t="s">
        <v>1036</v>
      </c>
      <c r="S1329" s="105" t="s">
        <v>1564</v>
      </c>
      <c r="T1329" s="105" t="s">
        <v>1564</v>
      </c>
      <c r="U1329" s="105" t="s">
        <v>1564</v>
      </c>
      <c r="V1329" s="56" t="s">
        <v>1907</v>
      </c>
      <c r="W1329" s="104">
        <v>1.21</v>
      </c>
      <c r="Z1329" s="104" t="s">
        <v>531</v>
      </c>
      <c r="AD1329" s="104" t="s">
        <v>1511</v>
      </c>
      <c r="AE1329" s="104" t="s">
        <v>159</v>
      </c>
      <c r="AF1329" s="152" t="s">
        <v>159</v>
      </c>
      <c r="AG1329" s="104" t="s">
        <v>160</v>
      </c>
      <c r="AH1329" s="158" t="s">
        <v>160</v>
      </c>
      <c r="AL1329" s="104" t="s">
        <v>188</v>
      </c>
      <c r="AM1329" s="104" t="s">
        <v>188</v>
      </c>
      <c r="AN1329" s="104" t="s">
        <v>212</v>
      </c>
      <c r="AO1329" s="104" t="s">
        <v>1034</v>
      </c>
      <c r="AP1329" s="104">
        <v>0</v>
      </c>
      <c r="AQ1329" s="104" t="s">
        <v>587</v>
      </c>
      <c r="AR1329" s="104" t="s">
        <v>192</v>
      </c>
      <c r="AS1329" s="104">
        <v>4</v>
      </c>
      <c r="AT1329" s="104">
        <v>4</v>
      </c>
      <c r="AU1329" s="104" t="s">
        <v>169</v>
      </c>
      <c r="AZ1329" s="104" t="s">
        <v>1037</v>
      </c>
      <c r="BD1329" s="104">
        <v>7997</v>
      </c>
      <c r="BE1329" s="104">
        <v>7827</v>
      </c>
      <c r="BG1329" s="104">
        <v>1.2050000000000001</v>
      </c>
      <c r="BH1329" s="104">
        <v>1.22</v>
      </c>
      <c r="BJ1329" s="104">
        <f>40.67/100</f>
        <v>0.40670000000000001</v>
      </c>
      <c r="BK1329" s="104">
        <f>46.42/100</f>
        <v>0.4642</v>
      </c>
      <c r="BL1329" s="104" t="s">
        <v>1311</v>
      </c>
      <c r="CH1329" s="104">
        <v>64.8</v>
      </c>
      <c r="CI1329" s="104">
        <v>68.16</v>
      </c>
      <c r="CJ1329" s="104" t="s">
        <v>1039</v>
      </c>
      <c r="FR1329" s="104" t="s">
        <v>1044</v>
      </c>
      <c r="FT1329" s="104">
        <v>60</v>
      </c>
    </row>
    <row r="1330" spans="1:176" s="47" customFormat="1" x14ac:dyDescent="0.25">
      <c r="A1330" s="47">
        <v>61</v>
      </c>
      <c r="B1330" s="47" t="s">
        <v>1058</v>
      </c>
      <c r="C1330" s="47" t="s">
        <v>1059</v>
      </c>
      <c r="D1330" s="47">
        <v>2003</v>
      </c>
      <c r="E1330" s="47">
        <v>2000</v>
      </c>
      <c r="F1330" s="47" t="s">
        <v>1060</v>
      </c>
      <c r="G1330" s="47" t="s">
        <v>1061</v>
      </c>
      <c r="H1330" s="47">
        <v>38.74</v>
      </c>
      <c r="I1330" s="47">
        <v>-87.49</v>
      </c>
      <c r="J1330" s="47">
        <v>130</v>
      </c>
      <c r="M1330" s="47">
        <v>143.9</v>
      </c>
      <c r="P1330" s="82">
        <v>1</v>
      </c>
      <c r="Q1330" s="82" t="s">
        <v>994</v>
      </c>
      <c r="R1330" s="82" t="s">
        <v>1065</v>
      </c>
      <c r="S1330" s="82" t="s">
        <v>1558</v>
      </c>
      <c r="T1330" s="82" t="s">
        <v>1558</v>
      </c>
      <c r="U1330" s="82" t="s">
        <v>1558</v>
      </c>
      <c r="V1330" s="82" t="s">
        <v>1905</v>
      </c>
      <c r="W1330" s="47">
        <v>1.44</v>
      </c>
      <c r="Z1330" s="47" t="s">
        <v>531</v>
      </c>
      <c r="AD1330" s="47" t="s">
        <v>1487</v>
      </c>
      <c r="AE1330" s="47" t="s">
        <v>1707</v>
      </c>
      <c r="AF1330" s="152" t="s">
        <v>1761</v>
      </c>
      <c r="AG1330" s="47" t="s">
        <v>190</v>
      </c>
      <c r="AH1330" s="154" t="s">
        <v>1791</v>
      </c>
      <c r="AI1330" s="47" t="s">
        <v>1081</v>
      </c>
      <c r="AJ1330" s="47" t="s">
        <v>1081</v>
      </c>
      <c r="AK1330" s="47" t="s">
        <v>212</v>
      </c>
      <c r="AL1330" s="47" t="s">
        <v>269</v>
      </c>
      <c r="AM1330" s="47" t="s">
        <v>269</v>
      </c>
      <c r="AN1330" s="47" t="s">
        <v>212</v>
      </c>
      <c r="AR1330" s="47" t="s">
        <v>192</v>
      </c>
      <c r="AS1330" s="47">
        <v>4</v>
      </c>
      <c r="AT1330" s="47">
        <v>4</v>
      </c>
      <c r="AU1330" s="47" t="s">
        <v>169</v>
      </c>
      <c r="AW1330" s="47">
        <v>1027</v>
      </c>
      <c r="AY1330" s="47" t="s">
        <v>1063</v>
      </c>
      <c r="BG1330" s="47">
        <v>1.4</v>
      </c>
      <c r="BH1330" s="47">
        <v>1.36</v>
      </c>
      <c r="CH1330" s="47">
        <v>1.65</v>
      </c>
      <c r="CI1330" s="47">
        <v>1.95</v>
      </c>
      <c r="CJ1330" s="47" t="s">
        <v>1069</v>
      </c>
      <c r="CK1330" s="47">
        <v>49.1</v>
      </c>
      <c r="CL1330" s="47">
        <v>51.25</v>
      </c>
      <c r="CM1330" s="47" t="s">
        <v>1067</v>
      </c>
      <c r="CN1330" s="47">
        <v>4.931E-2</v>
      </c>
      <c r="CO1330" s="47">
        <v>4.897E-2</v>
      </c>
      <c r="CP1330" s="47" t="s">
        <v>1082</v>
      </c>
      <c r="CQ1330" s="47">
        <v>12.6</v>
      </c>
      <c r="CR1330" s="47">
        <v>17.399999999999999</v>
      </c>
      <c r="CS1330" s="47" t="s">
        <v>1070</v>
      </c>
      <c r="CT1330" s="47">
        <v>75</v>
      </c>
      <c r="CU1330" s="47">
        <v>150.6</v>
      </c>
      <c r="DI1330" s="47">
        <f>30/1.44</f>
        <v>20.833333333333336</v>
      </c>
      <c r="DJ1330" s="47">
        <f>33.4/1.44</f>
        <v>23.194444444444443</v>
      </c>
      <c r="DK1330" s="47" t="s">
        <v>1072</v>
      </c>
      <c r="FR1330" s="47" t="s">
        <v>1080</v>
      </c>
      <c r="FT1330" s="47">
        <v>61</v>
      </c>
    </row>
    <row r="1331" spans="1:176" s="47" customFormat="1" x14ac:dyDescent="0.25">
      <c r="A1331" s="47">
        <v>61</v>
      </c>
      <c r="B1331" s="47" t="s">
        <v>1058</v>
      </c>
      <c r="C1331" s="47" t="s">
        <v>1059</v>
      </c>
      <c r="D1331" s="47">
        <v>2003</v>
      </c>
      <c r="E1331" s="47">
        <v>2000</v>
      </c>
      <c r="F1331" s="47" t="s">
        <v>1060</v>
      </c>
      <c r="G1331" s="47" t="s">
        <v>1061</v>
      </c>
      <c r="H1331" s="47">
        <v>38.74</v>
      </c>
      <c r="I1331" s="47">
        <v>-87.49</v>
      </c>
      <c r="J1331" s="47">
        <v>130</v>
      </c>
      <c r="M1331" s="47">
        <v>143.9</v>
      </c>
      <c r="P1331" s="82">
        <v>1</v>
      </c>
      <c r="Q1331" s="82" t="s">
        <v>994</v>
      </c>
      <c r="R1331" s="82" t="s">
        <v>1065</v>
      </c>
      <c r="S1331" s="82" t="s">
        <v>1558</v>
      </c>
      <c r="T1331" s="82" t="s">
        <v>1558</v>
      </c>
      <c r="U1331" s="82" t="s">
        <v>1558</v>
      </c>
      <c r="V1331" s="82" t="s">
        <v>1905</v>
      </c>
      <c r="W1331" s="47">
        <v>1.44</v>
      </c>
      <c r="Z1331" s="47" t="s">
        <v>531</v>
      </c>
      <c r="AD1331" s="47" t="s">
        <v>1487</v>
      </c>
      <c r="AE1331" s="47" t="s">
        <v>1707</v>
      </c>
      <c r="AF1331" s="152" t="s">
        <v>1761</v>
      </c>
      <c r="AG1331" s="47" t="s">
        <v>160</v>
      </c>
      <c r="AH1331" s="154" t="s">
        <v>1791</v>
      </c>
      <c r="AI1331" s="47" t="s">
        <v>1081</v>
      </c>
      <c r="AJ1331" s="47" t="s">
        <v>1081</v>
      </c>
      <c r="AK1331" s="47" t="s">
        <v>212</v>
      </c>
      <c r="AL1331" s="47" t="s">
        <v>269</v>
      </c>
      <c r="AM1331" s="47" t="s">
        <v>269</v>
      </c>
      <c r="AN1331" s="47" t="s">
        <v>212</v>
      </c>
      <c r="AR1331" s="47" t="s">
        <v>192</v>
      </c>
      <c r="AS1331" s="47">
        <v>4</v>
      </c>
      <c r="AT1331" s="47">
        <v>4</v>
      </c>
      <c r="AU1331" s="47" t="s">
        <v>169</v>
      </c>
      <c r="AW1331" s="47">
        <v>895</v>
      </c>
      <c r="AY1331" s="47" t="s">
        <v>1064</v>
      </c>
      <c r="BG1331" s="47">
        <v>1.4</v>
      </c>
      <c r="BH1331" s="47">
        <v>1.34</v>
      </c>
      <c r="CH1331" s="47">
        <v>1.65</v>
      </c>
      <c r="CI1331" s="47">
        <v>2.59</v>
      </c>
      <c r="CJ1331" s="47" t="s">
        <v>1069</v>
      </c>
      <c r="CK1331" s="47">
        <v>49.1</v>
      </c>
      <c r="CL1331" s="47">
        <v>50.33</v>
      </c>
      <c r="CM1331" s="47" t="s">
        <v>1067</v>
      </c>
      <c r="CN1331" s="47">
        <v>4.623E-2</v>
      </c>
      <c r="CO1331" s="47">
        <v>4.3950000000000003E-2</v>
      </c>
      <c r="CP1331" s="47" t="s">
        <v>1082</v>
      </c>
      <c r="CT1331" s="47">
        <v>75</v>
      </c>
      <c r="CU1331" s="47">
        <v>117</v>
      </c>
      <c r="DI1331" s="47">
        <f>30/1.44</f>
        <v>20.833333333333336</v>
      </c>
      <c r="DJ1331" s="47">
        <f>34.1/1.44</f>
        <v>23.680555555555557</v>
      </c>
      <c r="DK1331" s="47" t="s">
        <v>1072</v>
      </c>
      <c r="FR1331" s="47" t="s">
        <v>1080</v>
      </c>
      <c r="FT1331" s="47">
        <v>61</v>
      </c>
    </row>
    <row r="1332" spans="1:176" s="47" customFormat="1" x14ac:dyDescent="0.25">
      <c r="A1332" s="47">
        <v>61</v>
      </c>
      <c r="B1332" s="47" t="s">
        <v>1058</v>
      </c>
      <c r="C1332" s="47" t="s">
        <v>1059</v>
      </c>
      <c r="D1332" s="47">
        <v>2003</v>
      </c>
      <c r="E1332" s="47">
        <v>2000</v>
      </c>
      <c r="F1332" s="47" t="s">
        <v>1060</v>
      </c>
      <c r="G1332" s="47" t="s">
        <v>1061</v>
      </c>
      <c r="H1332" s="47">
        <v>38.74</v>
      </c>
      <c r="I1332" s="47">
        <v>-87.49</v>
      </c>
      <c r="J1332" s="47">
        <v>130</v>
      </c>
      <c r="M1332" s="47">
        <v>143.9</v>
      </c>
      <c r="P1332" s="82">
        <v>1</v>
      </c>
      <c r="Q1332" s="82" t="s">
        <v>994</v>
      </c>
      <c r="R1332" s="82" t="s">
        <v>1065</v>
      </c>
      <c r="S1332" s="82" t="s">
        <v>1558</v>
      </c>
      <c r="T1332" s="82" t="s">
        <v>1558</v>
      </c>
      <c r="U1332" s="82" t="s">
        <v>1558</v>
      </c>
      <c r="V1332" s="82" t="s">
        <v>1905</v>
      </c>
      <c r="W1332" s="47">
        <v>1.44</v>
      </c>
      <c r="Z1332" s="47" t="s">
        <v>531</v>
      </c>
      <c r="AD1332" s="47" t="s">
        <v>1487</v>
      </c>
      <c r="AE1332" s="47" t="s">
        <v>1707</v>
      </c>
      <c r="AF1332" s="152" t="s">
        <v>1761</v>
      </c>
      <c r="AG1332" s="47" t="s">
        <v>190</v>
      </c>
      <c r="AH1332" s="154" t="s">
        <v>1791</v>
      </c>
      <c r="AI1332" s="47" t="s">
        <v>1081</v>
      </c>
      <c r="AJ1332" s="47" t="s">
        <v>1081</v>
      </c>
      <c r="AK1332" s="47" t="s">
        <v>212</v>
      </c>
      <c r="AL1332" s="47" t="s">
        <v>188</v>
      </c>
      <c r="AM1332" s="47" t="s">
        <v>188</v>
      </c>
      <c r="AN1332" s="47" t="s">
        <v>212</v>
      </c>
      <c r="AR1332" s="47" t="s">
        <v>192</v>
      </c>
      <c r="AS1332" s="47">
        <v>4</v>
      </c>
      <c r="AT1332" s="47">
        <v>4</v>
      </c>
      <c r="AU1332" s="47" t="s">
        <v>169</v>
      </c>
      <c r="AW1332" s="47">
        <v>418</v>
      </c>
      <c r="AY1332" s="47" t="s">
        <v>1063</v>
      </c>
      <c r="BG1332" s="47">
        <v>1.55</v>
      </c>
      <c r="BH1332" s="47">
        <v>1.5</v>
      </c>
      <c r="CH1332" s="47">
        <v>1.48</v>
      </c>
      <c r="CI1332" s="47">
        <v>2.08</v>
      </c>
      <c r="CJ1332" s="47" t="s">
        <v>1069</v>
      </c>
      <c r="CK1332" s="47">
        <v>41.26</v>
      </c>
      <c r="CL1332" s="47">
        <v>42.24</v>
      </c>
      <c r="CM1332" s="47" t="s">
        <v>1067</v>
      </c>
      <c r="CN1332" s="47">
        <v>4.931E-2</v>
      </c>
      <c r="CO1332" s="47">
        <v>6.1400000000000003E-2</v>
      </c>
      <c r="CP1332" s="47" t="s">
        <v>1082</v>
      </c>
      <c r="CQ1332" s="47">
        <v>18</v>
      </c>
      <c r="CR1332" s="47">
        <v>21.6</v>
      </c>
      <c r="CS1332" s="47" t="s">
        <v>1070</v>
      </c>
      <c r="DI1332" s="47">
        <f>33.9/1.44</f>
        <v>23.541666666666668</v>
      </c>
      <c r="DJ1332" s="47">
        <f>36/1.44</f>
        <v>25</v>
      </c>
      <c r="DK1332" s="47" t="s">
        <v>1072</v>
      </c>
      <c r="FR1332" s="47" t="s">
        <v>1080</v>
      </c>
      <c r="FT1332" s="47">
        <v>61</v>
      </c>
    </row>
    <row r="1333" spans="1:176" s="47" customFormat="1" x14ac:dyDescent="0.25">
      <c r="A1333" s="47">
        <v>61</v>
      </c>
      <c r="B1333" s="47" t="s">
        <v>1058</v>
      </c>
      <c r="C1333" s="47" t="s">
        <v>1059</v>
      </c>
      <c r="D1333" s="47">
        <v>2003</v>
      </c>
      <c r="E1333" s="47">
        <v>2000</v>
      </c>
      <c r="F1333" s="47" t="s">
        <v>1060</v>
      </c>
      <c r="G1333" s="47" t="s">
        <v>1061</v>
      </c>
      <c r="H1333" s="47">
        <v>38.74</v>
      </c>
      <c r="I1333" s="47">
        <v>-87.49</v>
      </c>
      <c r="J1333" s="47">
        <v>130</v>
      </c>
      <c r="M1333" s="47">
        <v>143.9</v>
      </c>
      <c r="P1333" s="82">
        <v>1</v>
      </c>
      <c r="Q1333" s="82" t="s">
        <v>994</v>
      </c>
      <c r="R1333" s="82" t="s">
        <v>1065</v>
      </c>
      <c r="S1333" s="82" t="s">
        <v>1558</v>
      </c>
      <c r="T1333" s="82" t="s">
        <v>1558</v>
      </c>
      <c r="U1333" s="82" t="s">
        <v>1558</v>
      </c>
      <c r="V1333" s="82" t="s">
        <v>1905</v>
      </c>
      <c r="W1333" s="47">
        <v>1.44</v>
      </c>
      <c r="Z1333" s="47" t="s">
        <v>531</v>
      </c>
      <c r="AD1333" s="47" t="s">
        <v>1487</v>
      </c>
      <c r="AE1333" s="47" t="s">
        <v>1707</v>
      </c>
      <c r="AF1333" s="152" t="s">
        <v>1761</v>
      </c>
      <c r="AG1333" s="47" t="s">
        <v>160</v>
      </c>
      <c r="AH1333" s="154" t="s">
        <v>1791</v>
      </c>
      <c r="AI1333" s="47" t="s">
        <v>1081</v>
      </c>
      <c r="AJ1333" s="47" t="s">
        <v>1081</v>
      </c>
      <c r="AK1333" s="47" t="s">
        <v>212</v>
      </c>
      <c r="AL1333" s="47" t="s">
        <v>188</v>
      </c>
      <c r="AM1333" s="47" t="s">
        <v>188</v>
      </c>
      <c r="AN1333" s="47" t="s">
        <v>212</v>
      </c>
      <c r="AR1333" s="47" t="s">
        <v>192</v>
      </c>
      <c r="AS1333" s="47">
        <v>4</v>
      </c>
      <c r="AT1333" s="47">
        <v>4</v>
      </c>
      <c r="AU1333" s="47" t="s">
        <v>169</v>
      </c>
      <c r="AW1333" s="47">
        <v>743</v>
      </c>
      <c r="AY1333" s="47" t="s">
        <v>1064</v>
      </c>
      <c r="BG1333" s="47">
        <v>1.55</v>
      </c>
      <c r="BH1333" s="47">
        <v>1.48</v>
      </c>
      <c r="CH1333" s="47">
        <v>1.48</v>
      </c>
      <c r="CI1333" s="47">
        <v>2.7</v>
      </c>
      <c r="CJ1333" s="47" t="s">
        <v>1069</v>
      </c>
      <c r="CK1333" s="47">
        <v>41.26</v>
      </c>
      <c r="CL1333" s="47">
        <v>41.55</v>
      </c>
      <c r="CM1333" s="47" t="s">
        <v>1067</v>
      </c>
      <c r="CN1333" s="47">
        <v>4.623E-2</v>
      </c>
      <c r="CO1333" s="47">
        <v>4.1669999999999999E-2</v>
      </c>
      <c r="CP1333" s="47" t="s">
        <v>1082</v>
      </c>
      <c r="DI1333" s="47">
        <f>33.9/1.44</f>
        <v>23.541666666666668</v>
      </c>
      <c r="DJ1333" s="47">
        <f>37.7/1.44</f>
        <v>26.180555555555557</v>
      </c>
      <c r="DK1333" s="47" t="s">
        <v>1072</v>
      </c>
      <c r="FR1333" s="47" t="s">
        <v>1080</v>
      </c>
      <c r="FT1333" s="47">
        <v>61</v>
      </c>
    </row>
    <row r="1334" spans="1:176" s="47" customFormat="1" x14ac:dyDescent="0.25">
      <c r="A1334" s="47">
        <v>61</v>
      </c>
      <c r="B1334" s="47" t="s">
        <v>1058</v>
      </c>
      <c r="C1334" s="47" t="s">
        <v>1059</v>
      </c>
      <c r="D1334" s="47">
        <v>2003</v>
      </c>
      <c r="E1334" s="47">
        <v>2000</v>
      </c>
      <c r="F1334" s="47" t="s">
        <v>1060</v>
      </c>
      <c r="G1334" s="47" t="s">
        <v>1061</v>
      </c>
      <c r="H1334" s="47">
        <v>38.74</v>
      </c>
      <c r="I1334" s="47">
        <v>-87.49</v>
      </c>
      <c r="J1334" s="47">
        <v>130</v>
      </c>
      <c r="M1334" s="47">
        <v>143.9</v>
      </c>
      <c r="P1334" s="82">
        <v>1</v>
      </c>
      <c r="Q1334" s="82" t="s">
        <v>994</v>
      </c>
      <c r="R1334" s="82" t="s">
        <v>1066</v>
      </c>
      <c r="S1334" s="82" t="s">
        <v>1558</v>
      </c>
      <c r="T1334" s="82" t="s">
        <v>1558</v>
      </c>
      <c r="U1334" s="82" t="s">
        <v>1558</v>
      </c>
      <c r="V1334" s="82" t="s">
        <v>1905</v>
      </c>
      <c r="W1334" s="47">
        <v>1.44</v>
      </c>
      <c r="Z1334" s="47" t="s">
        <v>531</v>
      </c>
      <c r="AD1334" s="47" t="s">
        <v>1487</v>
      </c>
      <c r="AE1334" s="47" t="s">
        <v>1707</v>
      </c>
      <c r="AF1334" s="152" t="s">
        <v>1761</v>
      </c>
      <c r="AG1334" s="47" t="s">
        <v>190</v>
      </c>
      <c r="AH1334" s="154" t="s">
        <v>1791</v>
      </c>
      <c r="AI1334" s="47" t="s">
        <v>1081</v>
      </c>
      <c r="AJ1334" s="47" t="s">
        <v>1081</v>
      </c>
      <c r="AK1334" s="47" t="s">
        <v>212</v>
      </c>
      <c r="AL1334" s="47" t="s">
        <v>269</v>
      </c>
      <c r="AM1334" s="47" t="s">
        <v>269</v>
      </c>
      <c r="AN1334" s="47" t="s">
        <v>212</v>
      </c>
      <c r="AR1334" s="47" t="s">
        <v>192</v>
      </c>
      <c r="AS1334" s="47">
        <v>4</v>
      </c>
      <c r="AT1334" s="47">
        <v>4</v>
      </c>
      <c r="AU1334" s="47" t="s">
        <v>169</v>
      </c>
      <c r="AW1334" s="47">
        <v>3096</v>
      </c>
      <c r="AY1334" s="47" t="s">
        <v>1063</v>
      </c>
      <c r="BG1334" s="47">
        <v>1.35</v>
      </c>
      <c r="BH1334" s="47">
        <v>1.29</v>
      </c>
      <c r="CH1334" s="47">
        <v>2.38</v>
      </c>
      <c r="CI1334" s="47">
        <v>2.5</v>
      </c>
      <c r="CJ1334" s="47" t="s">
        <v>1069</v>
      </c>
      <c r="CK1334" s="47">
        <v>13.93</v>
      </c>
      <c r="CL1334" s="47">
        <v>15.24</v>
      </c>
      <c r="CM1334" s="47" t="s">
        <v>1068</v>
      </c>
      <c r="CT1334" s="47">
        <v>58.2</v>
      </c>
      <c r="CU1334" s="47">
        <v>22.2</v>
      </c>
      <c r="DI1334" s="47">
        <f>26.5/1.44</f>
        <v>18.402777777777779</v>
      </c>
      <c r="DJ1334" s="47">
        <f>29.1/1.44</f>
        <v>20.208333333333336</v>
      </c>
      <c r="DK1334" s="47" t="s">
        <v>1073</v>
      </c>
      <c r="FR1334" s="47" t="s">
        <v>1080</v>
      </c>
      <c r="FT1334" s="47">
        <v>61</v>
      </c>
    </row>
    <row r="1335" spans="1:176" s="47" customFormat="1" x14ac:dyDescent="0.25">
      <c r="A1335" s="47">
        <v>61</v>
      </c>
      <c r="B1335" s="47" t="s">
        <v>1058</v>
      </c>
      <c r="C1335" s="47" t="s">
        <v>1059</v>
      </c>
      <c r="D1335" s="47">
        <v>2003</v>
      </c>
      <c r="E1335" s="47">
        <v>2000</v>
      </c>
      <c r="F1335" s="47" t="s">
        <v>1060</v>
      </c>
      <c r="G1335" s="47" t="s">
        <v>1061</v>
      </c>
      <c r="H1335" s="47">
        <v>38.74</v>
      </c>
      <c r="I1335" s="47">
        <v>-87.49</v>
      </c>
      <c r="J1335" s="47">
        <v>130</v>
      </c>
      <c r="M1335" s="47">
        <v>143.9</v>
      </c>
      <c r="P1335" s="82">
        <v>1</v>
      </c>
      <c r="Q1335" s="82" t="s">
        <v>994</v>
      </c>
      <c r="R1335" s="82" t="s">
        <v>1066</v>
      </c>
      <c r="S1335" s="82" t="s">
        <v>1558</v>
      </c>
      <c r="T1335" s="82" t="s">
        <v>1558</v>
      </c>
      <c r="U1335" s="82" t="s">
        <v>1558</v>
      </c>
      <c r="V1335" s="82" t="s">
        <v>1905</v>
      </c>
      <c r="W1335" s="47">
        <v>1.44</v>
      </c>
      <c r="Z1335" s="47" t="s">
        <v>531</v>
      </c>
      <c r="AD1335" s="47" t="s">
        <v>1487</v>
      </c>
      <c r="AE1335" s="47" t="s">
        <v>1707</v>
      </c>
      <c r="AF1335" s="152" t="s">
        <v>1761</v>
      </c>
      <c r="AG1335" s="47" t="s">
        <v>160</v>
      </c>
      <c r="AH1335" s="154" t="s">
        <v>1791</v>
      </c>
      <c r="AI1335" s="47" t="s">
        <v>1081</v>
      </c>
      <c r="AJ1335" s="47" t="s">
        <v>1081</v>
      </c>
      <c r="AK1335" s="47" t="s">
        <v>212</v>
      </c>
      <c r="AL1335" s="47" t="s">
        <v>269</v>
      </c>
      <c r="AM1335" s="47" t="s">
        <v>269</v>
      </c>
      <c r="AN1335" s="47" t="s">
        <v>212</v>
      </c>
      <c r="AR1335" s="47" t="s">
        <v>192</v>
      </c>
      <c r="AS1335" s="47">
        <v>4</v>
      </c>
      <c r="AT1335" s="47">
        <v>4</v>
      </c>
      <c r="AU1335" s="47" t="s">
        <v>169</v>
      </c>
      <c r="AW1335" s="47">
        <v>3047</v>
      </c>
      <c r="AY1335" s="47" t="s">
        <v>1064</v>
      </c>
      <c r="BG1335" s="47">
        <v>1.35</v>
      </c>
      <c r="BH1335" s="47">
        <v>1.32</v>
      </c>
      <c r="CH1335" s="47">
        <v>2.38</v>
      </c>
      <c r="CI1335" s="47">
        <v>3.24</v>
      </c>
      <c r="CJ1335" s="47" t="s">
        <v>1069</v>
      </c>
      <c r="CK1335" s="47">
        <v>13.93</v>
      </c>
      <c r="CL1335" s="47">
        <v>13</v>
      </c>
      <c r="CM1335" s="47" t="s">
        <v>1068</v>
      </c>
      <c r="CT1335" s="47">
        <v>58.2</v>
      </c>
      <c r="CU1335" s="47">
        <v>40.799999999999997</v>
      </c>
      <c r="DI1335" s="47">
        <f>26.5/1.44</f>
        <v>18.402777777777779</v>
      </c>
      <c r="DJ1335" s="47">
        <f>29.5/1.44</f>
        <v>20.486111111111111</v>
      </c>
      <c r="DK1335" s="47" t="s">
        <v>1073</v>
      </c>
      <c r="FR1335" s="47" t="s">
        <v>1080</v>
      </c>
      <c r="FT1335" s="47">
        <v>61</v>
      </c>
    </row>
    <row r="1336" spans="1:176" s="47" customFormat="1" x14ac:dyDescent="0.25">
      <c r="A1336" s="47">
        <v>61</v>
      </c>
      <c r="B1336" s="47" t="s">
        <v>1058</v>
      </c>
      <c r="C1336" s="47" t="s">
        <v>1059</v>
      </c>
      <c r="D1336" s="47">
        <v>2003</v>
      </c>
      <c r="E1336" s="47">
        <v>2000</v>
      </c>
      <c r="F1336" s="47" t="s">
        <v>1060</v>
      </c>
      <c r="G1336" s="47" t="s">
        <v>1061</v>
      </c>
      <c r="H1336" s="47">
        <v>38.74</v>
      </c>
      <c r="I1336" s="47">
        <v>-87.49</v>
      </c>
      <c r="J1336" s="47">
        <v>130</v>
      </c>
      <c r="M1336" s="47">
        <v>143.9</v>
      </c>
      <c r="P1336" s="82">
        <v>1</v>
      </c>
      <c r="Q1336" s="82" t="s">
        <v>994</v>
      </c>
      <c r="R1336" s="82" t="s">
        <v>1066</v>
      </c>
      <c r="S1336" s="82" t="s">
        <v>1558</v>
      </c>
      <c r="T1336" s="82" t="s">
        <v>1558</v>
      </c>
      <c r="U1336" s="82" t="s">
        <v>1558</v>
      </c>
      <c r="V1336" s="82" t="s">
        <v>1905</v>
      </c>
      <c r="W1336" s="47">
        <v>1.44</v>
      </c>
      <c r="Z1336" s="47" t="s">
        <v>531</v>
      </c>
      <c r="AD1336" s="47" t="s">
        <v>1487</v>
      </c>
      <c r="AE1336" s="47" t="s">
        <v>1707</v>
      </c>
      <c r="AF1336" s="152" t="s">
        <v>1761</v>
      </c>
      <c r="AG1336" s="47" t="s">
        <v>190</v>
      </c>
      <c r="AH1336" s="154" t="s">
        <v>1791</v>
      </c>
      <c r="AI1336" s="47" t="s">
        <v>1081</v>
      </c>
      <c r="AJ1336" s="47" t="s">
        <v>1081</v>
      </c>
      <c r="AK1336" s="47" t="s">
        <v>212</v>
      </c>
      <c r="AL1336" s="47" t="s">
        <v>188</v>
      </c>
      <c r="AM1336" s="47" t="s">
        <v>188</v>
      </c>
      <c r="AN1336" s="47" t="s">
        <v>212</v>
      </c>
      <c r="AR1336" s="47" t="s">
        <v>192</v>
      </c>
      <c r="AS1336" s="47">
        <v>4</v>
      </c>
      <c r="AT1336" s="47">
        <v>4</v>
      </c>
      <c r="AU1336" s="47" t="s">
        <v>169</v>
      </c>
      <c r="AW1336" s="47">
        <v>1823</v>
      </c>
      <c r="AY1336" s="47" t="s">
        <v>1063</v>
      </c>
      <c r="BG1336" s="47">
        <v>1.56</v>
      </c>
      <c r="BH1336" s="47">
        <v>1.53</v>
      </c>
      <c r="CH1336" s="47">
        <v>2.4500000000000002</v>
      </c>
      <c r="CI1336" s="47">
        <v>2.63</v>
      </c>
      <c r="CJ1336" s="47" t="s">
        <v>1069</v>
      </c>
      <c r="CK1336" s="47">
        <v>5.62</v>
      </c>
      <c r="CL1336" s="47">
        <v>5.0599999999999996</v>
      </c>
      <c r="CM1336" s="47" t="s">
        <v>1068</v>
      </c>
      <c r="DI1336" s="47">
        <f>38.2/1.44</f>
        <v>26.527777777777782</v>
      </c>
      <c r="DJ1336" s="47">
        <f>35.2/1.44</f>
        <v>24.444444444444446</v>
      </c>
      <c r="DK1336" s="47" t="s">
        <v>1073</v>
      </c>
      <c r="FR1336" s="47" t="s">
        <v>1080</v>
      </c>
      <c r="FT1336" s="47">
        <v>61</v>
      </c>
    </row>
    <row r="1337" spans="1:176" s="47" customFormat="1" x14ac:dyDescent="0.25">
      <c r="A1337" s="47">
        <v>61</v>
      </c>
      <c r="B1337" s="47" t="s">
        <v>1058</v>
      </c>
      <c r="C1337" s="47" t="s">
        <v>1059</v>
      </c>
      <c r="D1337" s="47">
        <v>2003</v>
      </c>
      <c r="E1337" s="47">
        <v>2000</v>
      </c>
      <c r="F1337" s="47" t="s">
        <v>1060</v>
      </c>
      <c r="G1337" s="47" t="s">
        <v>1061</v>
      </c>
      <c r="H1337" s="47">
        <v>38.74</v>
      </c>
      <c r="I1337" s="47">
        <v>-87.49</v>
      </c>
      <c r="J1337" s="47">
        <v>130</v>
      </c>
      <c r="M1337" s="47">
        <v>143.9</v>
      </c>
      <c r="P1337" s="82">
        <v>1</v>
      </c>
      <c r="Q1337" s="82" t="s">
        <v>994</v>
      </c>
      <c r="R1337" s="82" t="s">
        <v>1066</v>
      </c>
      <c r="S1337" s="82" t="s">
        <v>1558</v>
      </c>
      <c r="T1337" s="82" t="s">
        <v>1558</v>
      </c>
      <c r="U1337" s="82" t="s">
        <v>1558</v>
      </c>
      <c r="V1337" s="82" t="s">
        <v>1905</v>
      </c>
      <c r="W1337" s="47">
        <v>1.44</v>
      </c>
      <c r="Z1337" s="47" t="s">
        <v>531</v>
      </c>
      <c r="AD1337" s="47" t="s">
        <v>1487</v>
      </c>
      <c r="AE1337" s="47" t="s">
        <v>1707</v>
      </c>
      <c r="AF1337" s="152" t="s">
        <v>1761</v>
      </c>
      <c r="AG1337" s="47" t="s">
        <v>160</v>
      </c>
      <c r="AH1337" s="154" t="s">
        <v>1791</v>
      </c>
      <c r="AI1337" s="47" t="s">
        <v>1081</v>
      </c>
      <c r="AJ1337" s="47" t="s">
        <v>1081</v>
      </c>
      <c r="AK1337" s="47" t="s">
        <v>212</v>
      </c>
      <c r="AL1337" s="47" t="s">
        <v>188</v>
      </c>
      <c r="AM1337" s="47" t="s">
        <v>188</v>
      </c>
      <c r="AN1337" s="47" t="s">
        <v>212</v>
      </c>
      <c r="AR1337" s="47" t="s">
        <v>192</v>
      </c>
      <c r="AS1337" s="47">
        <v>4</v>
      </c>
      <c r="AT1337" s="47">
        <v>4</v>
      </c>
      <c r="AU1337" s="47" t="s">
        <v>169</v>
      </c>
      <c r="AW1337" s="47">
        <v>2494</v>
      </c>
      <c r="AY1337" s="47" t="s">
        <v>1064</v>
      </c>
      <c r="BG1337" s="47">
        <v>1.56</v>
      </c>
      <c r="BH1337" s="47">
        <v>1.55</v>
      </c>
      <c r="CH1337" s="47">
        <v>2.4500000000000002</v>
      </c>
      <c r="CI1337" s="47">
        <v>3.07</v>
      </c>
      <c r="CJ1337" s="47" t="s">
        <v>1069</v>
      </c>
      <c r="CK1337" s="47">
        <v>5.62</v>
      </c>
      <c r="CL1337" s="47">
        <v>4.72</v>
      </c>
      <c r="CM1337" s="47" t="s">
        <v>1068</v>
      </c>
      <c r="DI1337" s="47">
        <f>38.2/1.44</f>
        <v>26.527777777777782</v>
      </c>
      <c r="DJ1337" s="47">
        <f>36.7/1.44</f>
        <v>25.486111111111114</v>
      </c>
      <c r="DK1337" s="47" t="s">
        <v>1073</v>
      </c>
      <c r="FR1337" s="47" t="s">
        <v>1080</v>
      </c>
      <c r="FT1337" s="47">
        <v>61</v>
      </c>
    </row>
    <row r="1338" spans="1:176" s="91" customFormat="1" x14ac:dyDescent="0.25">
      <c r="A1338" s="91">
        <v>61</v>
      </c>
      <c r="B1338" s="91" t="s">
        <v>1058</v>
      </c>
      <c r="C1338" s="91" t="s">
        <v>1059</v>
      </c>
      <c r="D1338" s="91">
        <v>2003</v>
      </c>
      <c r="E1338" s="91">
        <v>2000</v>
      </c>
      <c r="F1338" s="91" t="s">
        <v>1060</v>
      </c>
      <c r="G1338" s="91" t="s">
        <v>1062</v>
      </c>
      <c r="H1338" s="91">
        <v>40.299999999999997</v>
      </c>
      <c r="I1338" s="91">
        <v>-86.9</v>
      </c>
      <c r="J1338" s="91">
        <v>221</v>
      </c>
      <c r="M1338" s="47">
        <v>934</v>
      </c>
      <c r="P1338" s="92">
        <v>1</v>
      </c>
      <c r="Q1338" s="92" t="s">
        <v>994</v>
      </c>
      <c r="R1338" s="92" t="s">
        <v>1065</v>
      </c>
      <c r="S1338" s="92" t="s">
        <v>1558</v>
      </c>
      <c r="T1338" s="92" t="s">
        <v>1558</v>
      </c>
      <c r="U1338" s="92" t="s">
        <v>1558</v>
      </c>
      <c r="V1338" s="82" t="s">
        <v>1905</v>
      </c>
      <c r="W1338" s="91">
        <v>1.42</v>
      </c>
      <c r="Z1338" s="47" t="s">
        <v>531</v>
      </c>
      <c r="AD1338" s="47" t="s">
        <v>1487</v>
      </c>
      <c r="AE1338" s="91" t="s">
        <v>1707</v>
      </c>
      <c r="AF1338" s="152" t="s">
        <v>1761</v>
      </c>
      <c r="AG1338" s="91" t="s">
        <v>190</v>
      </c>
      <c r="AH1338" s="154" t="s">
        <v>1791</v>
      </c>
      <c r="AI1338" s="47" t="s">
        <v>1081</v>
      </c>
      <c r="AJ1338" s="47" t="s">
        <v>1081</v>
      </c>
      <c r="AK1338" s="47" t="s">
        <v>212</v>
      </c>
      <c r="AL1338" s="91" t="s">
        <v>269</v>
      </c>
      <c r="AM1338" s="91" t="s">
        <v>269</v>
      </c>
      <c r="AN1338" s="91" t="s">
        <v>212</v>
      </c>
      <c r="AR1338" s="91" t="s">
        <v>192</v>
      </c>
      <c r="AS1338" s="91">
        <v>4</v>
      </c>
      <c r="AT1338" s="91">
        <v>4</v>
      </c>
      <c r="AU1338" s="91" t="s">
        <v>169</v>
      </c>
      <c r="AW1338" s="91">
        <v>337</v>
      </c>
      <c r="AY1338" s="91" t="s">
        <v>1063</v>
      </c>
      <c r="BC1338" s="47"/>
      <c r="BG1338" s="91">
        <v>1.21</v>
      </c>
      <c r="BH1338" s="91">
        <v>1.21</v>
      </c>
      <c r="CH1338" s="91">
        <v>0.88</v>
      </c>
      <c r="CI1338" s="91">
        <v>1.38</v>
      </c>
      <c r="CJ1338" s="91" t="s">
        <v>1069</v>
      </c>
      <c r="CK1338" s="91">
        <v>50.67</v>
      </c>
      <c r="CL1338" s="91">
        <v>52.25</v>
      </c>
      <c r="CM1338" s="91" t="s">
        <v>1067</v>
      </c>
      <c r="CP1338" s="47"/>
      <c r="CQ1338" s="91">
        <v>39</v>
      </c>
      <c r="CR1338" s="91">
        <v>50.4</v>
      </c>
      <c r="CS1338" s="47" t="s">
        <v>1070</v>
      </c>
      <c r="CT1338" s="91">
        <v>15.2</v>
      </c>
      <c r="CU1338" s="91">
        <v>106</v>
      </c>
      <c r="DI1338" s="91">
        <f>22.3/1.42</f>
        <v>15.704225352112678</v>
      </c>
      <c r="DJ1338" s="91">
        <f>22.4/1.42</f>
        <v>15.774647887323944</v>
      </c>
      <c r="DK1338" s="91" t="s">
        <v>1072</v>
      </c>
      <c r="FR1338" s="47" t="s">
        <v>1080</v>
      </c>
      <c r="FT1338" s="91">
        <v>61</v>
      </c>
    </row>
    <row r="1339" spans="1:176" s="91" customFormat="1" x14ac:dyDescent="0.25">
      <c r="A1339" s="91">
        <v>61</v>
      </c>
      <c r="B1339" s="91" t="s">
        <v>1058</v>
      </c>
      <c r="C1339" s="91" t="s">
        <v>1059</v>
      </c>
      <c r="D1339" s="91">
        <v>2003</v>
      </c>
      <c r="E1339" s="91">
        <v>2000</v>
      </c>
      <c r="F1339" s="91" t="s">
        <v>1060</v>
      </c>
      <c r="G1339" s="91" t="s">
        <v>1062</v>
      </c>
      <c r="H1339" s="91">
        <v>40.299999999999997</v>
      </c>
      <c r="I1339" s="91">
        <v>-86.9</v>
      </c>
      <c r="J1339" s="91">
        <v>221</v>
      </c>
      <c r="M1339" s="47">
        <v>934</v>
      </c>
      <c r="P1339" s="92">
        <v>1</v>
      </c>
      <c r="Q1339" s="92" t="s">
        <v>994</v>
      </c>
      <c r="R1339" s="92" t="s">
        <v>1065</v>
      </c>
      <c r="S1339" s="92" t="s">
        <v>1558</v>
      </c>
      <c r="T1339" s="92" t="s">
        <v>1558</v>
      </c>
      <c r="U1339" s="92" t="s">
        <v>1558</v>
      </c>
      <c r="V1339" s="82" t="s">
        <v>1905</v>
      </c>
      <c r="W1339" s="91">
        <v>1.42</v>
      </c>
      <c r="Z1339" s="47" t="s">
        <v>531</v>
      </c>
      <c r="AD1339" s="47" t="s">
        <v>1487</v>
      </c>
      <c r="AE1339" s="91" t="s">
        <v>1707</v>
      </c>
      <c r="AF1339" s="152" t="s">
        <v>1761</v>
      </c>
      <c r="AG1339" s="91" t="s">
        <v>160</v>
      </c>
      <c r="AH1339" s="154" t="s">
        <v>1791</v>
      </c>
      <c r="AI1339" s="47" t="s">
        <v>1081</v>
      </c>
      <c r="AJ1339" s="47" t="s">
        <v>1081</v>
      </c>
      <c r="AK1339" s="47" t="s">
        <v>212</v>
      </c>
      <c r="AL1339" s="91" t="s">
        <v>269</v>
      </c>
      <c r="AM1339" s="91" t="s">
        <v>269</v>
      </c>
      <c r="AN1339" s="91" t="s">
        <v>212</v>
      </c>
      <c r="AR1339" s="91" t="s">
        <v>192</v>
      </c>
      <c r="AS1339" s="91">
        <v>4</v>
      </c>
      <c r="AT1339" s="91">
        <v>4</v>
      </c>
      <c r="AU1339" s="91" t="s">
        <v>169</v>
      </c>
      <c r="AW1339" s="91">
        <v>718</v>
      </c>
      <c r="AY1339" s="91" t="s">
        <v>1064</v>
      </c>
      <c r="BC1339" s="47"/>
      <c r="BG1339" s="91">
        <v>1.21</v>
      </c>
      <c r="BH1339" s="91">
        <v>1.21</v>
      </c>
      <c r="CH1339" s="91">
        <v>0.88</v>
      </c>
      <c r="CI1339" s="91">
        <v>1.22</v>
      </c>
      <c r="CJ1339" s="91" t="s">
        <v>1069</v>
      </c>
      <c r="CK1339" s="91">
        <v>50.67</v>
      </c>
      <c r="CL1339" s="91">
        <v>50.97</v>
      </c>
      <c r="CM1339" s="91" t="s">
        <v>1067</v>
      </c>
      <c r="CP1339" s="47"/>
      <c r="CS1339" s="47"/>
      <c r="CT1339" s="91">
        <v>15.2</v>
      </c>
      <c r="CU1339" s="91">
        <v>6.5</v>
      </c>
      <c r="DI1339" s="91">
        <f>22.3/1.42</f>
        <v>15.704225352112678</v>
      </c>
      <c r="DJ1339" s="91">
        <f>24.2/1.42</f>
        <v>17.04225352112676</v>
      </c>
      <c r="DK1339" s="91" t="s">
        <v>1072</v>
      </c>
      <c r="FR1339" s="47" t="s">
        <v>1080</v>
      </c>
      <c r="FT1339" s="91">
        <v>61</v>
      </c>
    </row>
    <row r="1340" spans="1:176" s="91" customFormat="1" x14ac:dyDescent="0.25">
      <c r="A1340" s="91">
        <v>61</v>
      </c>
      <c r="B1340" s="91" t="s">
        <v>1058</v>
      </c>
      <c r="C1340" s="91" t="s">
        <v>1059</v>
      </c>
      <c r="D1340" s="91">
        <v>2003</v>
      </c>
      <c r="E1340" s="91">
        <v>2000</v>
      </c>
      <c r="F1340" s="91" t="s">
        <v>1060</v>
      </c>
      <c r="G1340" s="91" t="s">
        <v>1062</v>
      </c>
      <c r="H1340" s="91">
        <v>40.299999999999997</v>
      </c>
      <c r="I1340" s="91">
        <v>-86.9</v>
      </c>
      <c r="J1340" s="91">
        <v>221</v>
      </c>
      <c r="M1340" s="47">
        <v>934</v>
      </c>
      <c r="P1340" s="92">
        <v>1</v>
      </c>
      <c r="Q1340" s="92" t="s">
        <v>994</v>
      </c>
      <c r="R1340" s="92" t="s">
        <v>1065</v>
      </c>
      <c r="S1340" s="92" t="s">
        <v>1558</v>
      </c>
      <c r="T1340" s="92" t="s">
        <v>1558</v>
      </c>
      <c r="U1340" s="92" t="s">
        <v>1558</v>
      </c>
      <c r="V1340" s="82" t="s">
        <v>1905</v>
      </c>
      <c r="W1340" s="91">
        <v>1.42</v>
      </c>
      <c r="Z1340" s="47" t="s">
        <v>531</v>
      </c>
      <c r="AD1340" s="47" t="s">
        <v>1487</v>
      </c>
      <c r="AE1340" s="91" t="s">
        <v>1707</v>
      </c>
      <c r="AF1340" s="152" t="s">
        <v>1761</v>
      </c>
      <c r="AG1340" s="91" t="s">
        <v>190</v>
      </c>
      <c r="AH1340" s="154" t="s">
        <v>1791</v>
      </c>
      <c r="AI1340" s="47" t="s">
        <v>1081</v>
      </c>
      <c r="AJ1340" s="47" t="s">
        <v>1081</v>
      </c>
      <c r="AK1340" s="47" t="s">
        <v>212</v>
      </c>
      <c r="AL1340" s="91" t="s">
        <v>188</v>
      </c>
      <c r="AM1340" s="91" t="s">
        <v>188</v>
      </c>
      <c r="AN1340" s="91" t="s">
        <v>212</v>
      </c>
      <c r="AR1340" s="91" t="s">
        <v>192</v>
      </c>
      <c r="AS1340" s="91">
        <v>4</v>
      </c>
      <c r="AT1340" s="91">
        <v>4</v>
      </c>
      <c r="AU1340" s="91" t="s">
        <v>169</v>
      </c>
      <c r="AW1340" s="91">
        <v>175</v>
      </c>
      <c r="AY1340" s="91" t="s">
        <v>1063</v>
      </c>
      <c r="BC1340" s="47"/>
      <c r="BG1340" s="91">
        <v>1.31</v>
      </c>
      <c r="BH1340" s="91">
        <v>1.38</v>
      </c>
      <c r="CH1340" s="91">
        <v>1.0900000000000001</v>
      </c>
      <c r="CI1340" s="91">
        <v>1.25</v>
      </c>
      <c r="CJ1340" s="91" t="s">
        <v>1069</v>
      </c>
      <c r="CK1340" s="91">
        <v>43.68</v>
      </c>
      <c r="CL1340" s="91">
        <v>41.8</v>
      </c>
      <c r="CM1340" s="91" t="s">
        <v>1067</v>
      </c>
      <c r="CP1340" s="47"/>
      <c r="CQ1340" s="91">
        <v>62.400000000000006</v>
      </c>
      <c r="CR1340" s="91">
        <v>57</v>
      </c>
      <c r="CS1340" s="47" t="s">
        <v>1070</v>
      </c>
      <c r="DI1340" s="91">
        <f>24.5/1.42</f>
        <v>17.253521126760564</v>
      </c>
      <c r="DJ1340" s="91">
        <f>27.4/1.42</f>
        <v>19.295774647887324</v>
      </c>
      <c r="DK1340" s="91" t="s">
        <v>1072</v>
      </c>
      <c r="FR1340" s="47" t="s">
        <v>1080</v>
      </c>
      <c r="FT1340" s="91">
        <v>61</v>
      </c>
    </row>
    <row r="1341" spans="1:176" s="91" customFormat="1" x14ac:dyDescent="0.25">
      <c r="A1341" s="91">
        <v>61</v>
      </c>
      <c r="B1341" s="91" t="s">
        <v>1058</v>
      </c>
      <c r="C1341" s="91" t="s">
        <v>1059</v>
      </c>
      <c r="D1341" s="91">
        <v>2003</v>
      </c>
      <c r="E1341" s="91">
        <v>2000</v>
      </c>
      <c r="F1341" s="91" t="s">
        <v>1060</v>
      </c>
      <c r="G1341" s="91" t="s">
        <v>1062</v>
      </c>
      <c r="H1341" s="91">
        <v>40.299999999999997</v>
      </c>
      <c r="I1341" s="91">
        <v>-86.9</v>
      </c>
      <c r="J1341" s="91">
        <v>221</v>
      </c>
      <c r="M1341" s="47">
        <v>934</v>
      </c>
      <c r="P1341" s="92">
        <v>1</v>
      </c>
      <c r="Q1341" s="92" t="s">
        <v>994</v>
      </c>
      <c r="R1341" s="92" t="s">
        <v>1065</v>
      </c>
      <c r="S1341" s="92" t="s">
        <v>1558</v>
      </c>
      <c r="T1341" s="92" t="s">
        <v>1558</v>
      </c>
      <c r="U1341" s="92" t="s">
        <v>1558</v>
      </c>
      <c r="V1341" s="82" t="s">
        <v>1905</v>
      </c>
      <c r="W1341" s="91">
        <v>1.42</v>
      </c>
      <c r="Z1341" s="47" t="s">
        <v>531</v>
      </c>
      <c r="AD1341" s="47" t="s">
        <v>1487</v>
      </c>
      <c r="AE1341" s="91" t="s">
        <v>1707</v>
      </c>
      <c r="AF1341" s="152" t="s">
        <v>1761</v>
      </c>
      <c r="AG1341" s="91" t="s">
        <v>160</v>
      </c>
      <c r="AH1341" s="154" t="s">
        <v>1791</v>
      </c>
      <c r="AI1341" s="47" t="s">
        <v>1081</v>
      </c>
      <c r="AJ1341" s="47" t="s">
        <v>1081</v>
      </c>
      <c r="AK1341" s="47" t="s">
        <v>212</v>
      </c>
      <c r="AL1341" s="91" t="s">
        <v>188</v>
      </c>
      <c r="AM1341" s="91" t="s">
        <v>188</v>
      </c>
      <c r="AN1341" s="91" t="s">
        <v>212</v>
      </c>
      <c r="AR1341" s="91" t="s">
        <v>192</v>
      </c>
      <c r="AS1341" s="91">
        <v>4</v>
      </c>
      <c r="AT1341" s="91">
        <v>4</v>
      </c>
      <c r="AU1341" s="91" t="s">
        <v>169</v>
      </c>
      <c r="AW1341" s="91">
        <v>411</v>
      </c>
      <c r="AY1341" s="91" t="s">
        <v>1064</v>
      </c>
      <c r="BC1341" s="47"/>
      <c r="BG1341" s="91">
        <v>1.31</v>
      </c>
      <c r="BH1341" s="91">
        <v>1.34</v>
      </c>
      <c r="CH1341" s="91">
        <v>1.0900000000000001</v>
      </c>
      <c r="CI1341" s="91">
        <v>1.32</v>
      </c>
      <c r="CJ1341" s="91" t="s">
        <v>1069</v>
      </c>
      <c r="CK1341" s="91">
        <v>43.68</v>
      </c>
      <c r="CL1341" s="91">
        <v>41.93</v>
      </c>
      <c r="CM1341" s="91" t="s">
        <v>1067</v>
      </c>
      <c r="DI1341" s="91">
        <f>24.5/1.42</f>
        <v>17.253521126760564</v>
      </c>
      <c r="DJ1341" s="91">
        <f>29/1.42</f>
        <v>20.422535211267608</v>
      </c>
      <c r="DK1341" s="91" t="s">
        <v>1072</v>
      </c>
      <c r="FR1341" s="47" t="s">
        <v>1080</v>
      </c>
      <c r="FT1341" s="91">
        <v>61</v>
      </c>
    </row>
    <row r="1342" spans="1:176" s="91" customFormat="1" x14ac:dyDescent="0.25">
      <c r="A1342" s="91">
        <v>61</v>
      </c>
      <c r="B1342" s="91" t="s">
        <v>1058</v>
      </c>
      <c r="C1342" s="91" t="s">
        <v>1059</v>
      </c>
      <c r="D1342" s="91">
        <v>2003</v>
      </c>
      <c r="E1342" s="91">
        <v>2000</v>
      </c>
      <c r="F1342" s="91" t="s">
        <v>1060</v>
      </c>
      <c r="G1342" s="91" t="s">
        <v>1062</v>
      </c>
      <c r="H1342" s="91">
        <v>40.299999999999997</v>
      </c>
      <c r="I1342" s="91">
        <v>-86.9</v>
      </c>
      <c r="J1342" s="91">
        <v>221</v>
      </c>
      <c r="M1342" s="47">
        <v>934</v>
      </c>
      <c r="P1342" s="92">
        <v>1</v>
      </c>
      <c r="Q1342" s="92" t="s">
        <v>994</v>
      </c>
      <c r="R1342" s="92" t="s">
        <v>1066</v>
      </c>
      <c r="S1342" s="92" t="s">
        <v>1558</v>
      </c>
      <c r="T1342" s="92" t="s">
        <v>1558</v>
      </c>
      <c r="U1342" s="92" t="s">
        <v>1558</v>
      </c>
      <c r="V1342" s="82" t="s">
        <v>1905</v>
      </c>
      <c r="W1342" s="91">
        <v>1.42</v>
      </c>
      <c r="Z1342" s="47" t="s">
        <v>531</v>
      </c>
      <c r="AD1342" s="47" t="s">
        <v>1487</v>
      </c>
      <c r="AE1342" s="91" t="s">
        <v>1707</v>
      </c>
      <c r="AF1342" s="152" t="s">
        <v>1761</v>
      </c>
      <c r="AG1342" s="91" t="s">
        <v>190</v>
      </c>
      <c r="AH1342" s="154" t="s">
        <v>1791</v>
      </c>
      <c r="AI1342" s="47" t="s">
        <v>1081</v>
      </c>
      <c r="AJ1342" s="47" t="s">
        <v>1081</v>
      </c>
      <c r="AK1342" s="47" t="s">
        <v>212</v>
      </c>
      <c r="AL1342" s="91" t="s">
        <v>269</v>
      </c>
      <c r="AM1342" s="91" t="s">
        <v>269</v>
      </c>
      <c r="AN1342" s="91" t="s">
        <v>212</v>
      </c>
      <c r="AR1342" s="91" t="s">
        <v>192</v>
      </c>
      <c r="AS1342" s="91">
        <v>4</v>
      </c>
      <c r="AT1342" s="91">
        <v>4</v>
      </c>
      <c r="AU1342" s="91" t="s">
        <v>169</v>
      </c>
      <c r="AW1342" s="91">
        <v>965</v>
      </c>
      <c r="AY1342" s="91" t="s">
        <v>1063</v>
      </c>
      <c r="BC1342" s="47"/>
      <c r="BG1342" s="91">
        <v>1.31</v>
      </c>
      <c r="BH1342" s="91">
        <v>1.27</v>
      </c>
      <c r="CH1342" s="91">
        <v>1.88</v>
      </c>
      <c r="CI1342" s="91">
        <v>2.4</v>
      </c>
      <c r="CJ1342" s="91" t="s">
        <v>1069</v>
      </c>
      <c r="CK1342" s="91">
        <v>16.95</v>
      </c>
      <c r="CL1342" s="91">
        <v>20.34</v>
      </c>
      <c r="CM1342" s="91" t="s">
        <v>1067</v>
      </c>
      <c r="CT1342" s="91">
        <v>14.1</v>
      </c>
      <c r="CU1342" s="91">
        <v>5.6</v>
      </c>
      <c r="DI1342" s="91">
        <f>24.1/1.42</f>
        <v>16.971830985915496</v>
      </c>
      <c r="DJ1342" s="91">
        <f>24.1/1.42</f>
        <v>16.971830985915496</v>
      </c>
      <c r="DK1342" s="91" t="s">
        <v>1073</v>
      </c>
      <c r="FR1342" s="47" t="s">
        <v>1080</v>
      </c>
      <c r="FT1342" s="91">
        <v>61</v>
      </c>
    </row>
    <row r="1343" spans="1:176" s="91" customFormat="1" x14ac:dyDescent="0.25">
      <c r="A1343" s="91">
        <v>61</v>
      </c>
      <c r="B1343" s="91" t="s">
        <v>1058</v>
      </c>
      <c r="C1343" s="91" t="s">
        <v>1059</v>
      </c>
      <c r="D1343" s="91">
        <v>2003</v>
      </c>
      <c r="E1343" s="91">
        <v>2000</v>
      </c>
      <c r="F1343" s="91" t="s">
        <v>1060</v>
      </c>
      <c r="G1343" s="91" t="s">
        <v>1062</v>
      </c>
      <c r="H1343" s="91">
        <v>40.299999999999997</v>
      </c>
      <c r="I1343" s="91">
        <v>-86.9</v>
      </c>
      <c r="J1343" s="91">
        <v>221</v>
      </c>
      <c r="M1343" s="47">
        <v>934</v>
      </c>
      <c r="P1343" s="92">
        <v>1</v>
      </c>
      <c r="Q1343" s="92" t="s">
        <v>994</v>
      </c>
      <c r="R1343" s="92" t="s">
        <v>1066</v>
      </c>
      <c r="S1343" s="92" t="s">
        <v>1558</v>
      </c>
      <c r="T1343" s="92" t="s">
        <v>1558</v>
      </c>
      <c r="U1343" s="92" t="s">
        <v>1558</v>
      </c>
      <c r="V1343" s="82" t="s">
        <v>1905</v>
      </c>
      <c r="W1343" s="91">
        <v>1.42</v>
      </c>
      <c r="Z1343" s="47" t="s">
        <v>531</v>
      </c>
      <c r="AD1343" s="47" t="s">
        <v>1487</v>
      </c>
      <c r="AE1343" s="91" t="s">
        <v>1707</v>
      </c>
      <c r="AF1343" s="152" t="s">
        <v>1761</v>
      </c>
      <c r="AG1343" s="91" t="s">
        <v>160</v>
      </c>
      <c r="AH1343" s="154" t="s">
        <v>1791</v>
      </c>
      <c r="AI1343" s="47" t="s">
        <v>1081</v>
      </c>
      <c r="AJ1343" s="47" t="s">
        <v>1081</v>
      </c>
      <c r="AK1343" s="47" t="s">
        <v>212</v>
      </c>
      <c r="AL1343" s="91" t="s">
        <v>269</v>
      </c>
      <c r="AM1343" s="91" t="s">
        <v>269</v>
      </c>
      <c r="AN1343" s="91" t="s">
        <v>212</v>
      </c>
      <c r="AR1343" s="91" t="s">
        <v>192</v>
      </c>
      <c r="AS1343" s="91">
        <v>4</v>
      </c>
      <c r="AT1343" s="91">
        <v>4</v>
      </c>
      <c r="AU1343" s="91" t="s">
        <v>169</v>
      </c>
      <c r="AW1343" s="91">
        <v>1672</v>
      </c>
      <c r="AY1343" s="91" t="s">
        <v>1064</v>
      </c>
      <c r="BC1343" s="47"/>
      <c r="BG1343" s="91">
        <v>1.31</v>
      </c>
      <c r="BH1343" s="91">
        <v>1.3</v>
      </c>
      <c r="CH1343" s="91">
        <v>1.88</v>
      </c>
      <c r="CI1343" s="91">
        <v>2.2799999999999998</v>
      </c>
      <c r="CJ1343" s="91" t="s">
        <v>1069</v>
      </c>
      <c r="CK1343" s="91">
        <v>16.95</v>
      </c>
      <c r="CL1343" s="91">
        <v>17.91</v>
      </c>
      <c r="CM1343" s="91" t="s">
        <v>1067</v>
      </c>
      <c r="CT1343" s="91">
        <v>14.1</v>
      </c>
      <c r="CU1343" s="91">
        <v>5.8</v>
      </c>
      <c r="DI1343" s="91">
        <f>24.1/1.42</f>
        <v>16.971830985915496</v>
      </c>
      <c r="DJ1343" s="91">
        <f>27/1.42</f>
        <v>19.014084507042256</v>
      </c>
      <c r="DK1343" s="91" t="s">
        <v>1073</v>
      </c>
      <c r="FR1343" s="47" t="s">
        <v>1080</v>
      </c>
      <c r="FT1343" s="91">
        <v>61</v>
      </c>
    </row>
    <row r="1344" spans="1:176" s="91" customFormat="1" x14ac:dyDescent="0.25">
      <c r="A1344" s="91">
        <v>61</v>
      </c>
      <c r="B1344" s="91" t="s">
        <v>1058</v>
      </c>
      <c r="C1344" s="91" t="s">
        <v>1059</v>
      </c>
      <c r="D1344" s="91">
        <v>2003</v>
      </c>
      <c r="E1344" s="91">
        <v>2000</v>
      </c>
      <c r="F1344" s="91" t="s">
        <v>1060</v>
      </c>
      <c r="G1344" s="91" t="s">
        <v>1062</v>
      </c>
      <c r="H1344" s="91">
        <v>40.299999999999997</v>
      </c>
      <c r="I1344" s="91">
        <v>-86.9</v>
      </c>
      <c r="J1344" s="91">
        <v>221</v>
      </c>
      <c r="M1344" s="47">
        <v>934</v>
      </c>
      <c r="P1344" s="92">
        <v>1</v>
      </c>
      <c r="Q1344" s="92" t="s">
        <v>994</v>
      </c>
      <c r="R1344" s="92" t="s">
        <v>1066</v>
      </c>
      <c r="S1344" s="92" t="s">
        <v>1558</v>
      </c>
      <c r="T1344" s="92" t="s">
        <v>1558</v>
      </c>
      <c r="U1344" s="92" t="s">
        <v>1558</v>
      </c>
      <c r="V1344" s="82" t="s">
        <v>1905</v>
      </c>
      <c r="W1344" s="91">
        <v>1.42</v>
      </c>
      <c r="Z1344" s="47" t="s">
        <v>531</v>
      </c>
      <c r="AD1344" s="47" t="s">
        <v>1487</v>
      </c>
      <c r="AE1344" s="91" t="s">
        <v>1707</v>
      </c>
      <c r="AF1344" s="152" t="s">
        <v>1761</v>
      </c>
      <c r="AG1344" s="91" t="s">
        <v>190</v>
      </c>
      <c r="AH1344" s="154" t="s">
        <v>1791</v>
      </c>
      <c r="AI1344" s="47" t="s">
        <v>1081</v>
      </c>
      <c r="AJ1344" s="47" t="s">
        <v>1081</v>
      </c>
      <c r="AK1344" s="47" t="s">
        <v>212</v>
      </c>
      <c r="AL1344" s="91" t="s">
        <v>188</v>
      </c>
      <c r="AM1344" s="91" t="s">
        <v>188</v>
      </c>
      <c r="AN1344" s="91" t="s">
        <v>212</v>
      </c>
      <c r="AR1344" s="91" t="s">
        <v>192</v>
      </c>
      <c r="AS1344" s="91">
        <v>4</v>
      </c>
      <c r="AT1344" s="91">
        <v>4</v>
      </c>
      <c r="AU1344" s="91" t="s">
        <v>169</v>
      </c>
      <c r="AW1344" s="91">
        <v>568</v>
      </c>
      <c r="AY1344" s="91" t="s">
        <v>1063</v>
      </c>
      <c r="BC1344" s="47"/>
      <c r="BG1344" s="91">
        <v>1.49</v>
      </c>
      <c r="BH1344" s="91">
        <v>1.54</v>
      </c>
      <c r="CH1344" s="91">
        <v>1.73</v>
      </c>
      <c r="CI1344" s="91">
        <v>2.11</v>
      </c>
      <c r="CJ1344" s="91" t="s">
        <v>1069</v>
      </c>
      <c r="CK1344" s="91">
        <v>10.64</v>
      </c>
      <c r="CL1344" s="91">
        <v>7.78</v>
      </c>
      <c r="CM1344" s="91" t="s">
        <v>1067</v>
      </c>
      <c r="DI1344" s="91">
        <f>26.6/1.42</f>
        <v>18.732394366197184</v>
      </c>
      <c r="DJ1344" s="91">
        <f>28.1/1.42</f>
        <v>19.7887323943662</v>
      </c>
      <c r="DK1344" s="91" t="s">
        <v>1073</v>
      </c>
      <c r="FR1344" s="47" t="s">
        <v>1080</v>
      </c>
      <c r="FT1344" s="91">
        <v>61</v>
      </c>
    </row>
    <row r="1345" spans="1:176" s="91" customFormat="1" x14ac:dyDescent="0.25">
      <c r="A1345" s="91">
        <v>61</v>
      </c>
      <c r="B1345" s="91" t="s">
        <v>1058</v>
      </c>
      <c r="C1345" s="91" t="s">
        <v>1059</v>
      </c>
      <c r="D1345" s="91">
        <v>2003</v>
      </c>
      <c r="E1345" s="91">
        <v>2000</v>
      </c>
      <c r="F1345" s="91" t="s">
        <v>1060</v>
      </c>
      <c r="G1345" s="91" t="s">
        <v>1062</v>
      </c>
      <c r="H1345" s="91">
        <v>40.299999999999997</v>
      </c>
      <c r="I1345" s="91">
        <v>-86.9</v>
      </c>
      <c r="J1345" s="91">
        <v>221</v>
      </c>
      <c r="M1345" s="47">
        <v>934</v>
      </c>
      <c r="P1345" s="92">
        <v>1</v>
      </c>
      <c r="Q1345" s="92" t="s">
        <v>994</v>
      </c>
      <c r="R1345" s="92" t="s">
        <v>1066</v>
      </c>
      <c r="S1345" s="92" t="s">
        <v>1558</v>
      </c>
      <c r="T1345" s="92" t="s">
        <v>1558</v>
      </c>
      <c r="U1345" s="92" t="s">
        <v>1558</v>
      </c>
      <c r="V1345" s="82" t="s">
        <v>1905</v>
      </c>
      <c r="W1345" s="91">
        <v>1.42</v>
      </c>
      <c r="Z1345" s="47" t="s">
        <v>531</v>
      </c>
      <c r="AD1345" s="47" t="s">
        <v>1487</v>
      </c>
      <c r="AE1345" s="91" t="s">
        <v>1707</v>
      </c>
      <c r="AF1345" s="152" t="s">
        <v>1761</v>
      </c>
      <c r="AG1345" s="91" t="s">
        <v>160</v>
      </c>
      <c r="AH1345" s="154" t="s">
        <v>1791</v>
      </c>
      <c r="AI1345" s="47" t="s">
        <v>1081</v>
      </c>
      <c r="AJ1345" s="47" t="s">
        <v>1081</v>
      </c>
      <c r="AK1345" s="47" t="s">
        <v>212</v>
      </c>
      <c r="AL1345" s="91" t="s">
        <v>188</v>
      </c>
      <c r="AM1345" s="91" t="s">
        <v>188</v>
      </c>
      <c r="AN1345" s="91" t="s">
        <v>212</v>
      </c>
      <c r="AR1345" s="91" t="s">
        <v>192</v>
      </c>
      <c r="AS1345" s="91">
        <v>4</v>
      </c>
      <c r="AT1345" s="91">
        <v>4</v>
      </c>
      <c r="AU1345" s="91" t="s">
        <v>169</v>
      </c>
      <c r="AW1345" s="91">
        <v>1160</v>
      </c>
      <c r="AY1345" s="91" t="s">
        <v>1064</v>
      </c>
      <c r="BC1345" s="47"/>
      <c r="BG1345" s="91">
        <v>1.49</v>
      </c>
      <c r="BH1345" s="91">
        <v>1.54</v>
      </c>
      <c r="CH1345" s="91">
        <v>1.73</v>
      </c>
      <c r="CI1345" s="91">
        <v>1.93</v>
      </c>
      <c r="CJ1345" s="91" t="s">
        <v>1069</v>
      </c>
      <c r="CK1345" s="91">
        <v>10.64</v>
      </c>
      <c r="CL1345" s="91">
        <v>7</v>
      </c>
      <c r="CM1345" s="91" t="s">
        <v>1067</v>
      </c>
      <c r="DI1345" s="91">
        <f>26.6/1.42</f>
        <v>18.732394366197184</v>
      </c>
      <c r="DJ1345" s="91">
        <f>29.3/1.42</f>
        <v>20.633802816901412</v>
      </c>
      <c r="DK1345" s="91" t="s">
        <v>1073</v>
      </c>
      <c r="FR1345" s="47" t="s">
        <v>1080</v>
      </c>
      <c r="FT1345" s="91">
        <v>61</v>
      </c>
    </row>
    <row r="1346" spans="1:176" s="26" customFormat="1" x14ac:dyDescent="0.25">
      <c r="A1346" s="26">
        <v>61</v>
      </c>
      <c r="B1346" s="26" t="s">
        <v>1058</v>
      </c>
      <c r="C1346" s="26" t="s">
        <v>1059</v>
      </c>
      <c r="D1346" s="26">
        <v>2003</v>
      </c>
      <c r="E1346" s="26">
        <v>2001</v>
      </c>
      <c r="F1346" s="26" t="s">
        <v>1060</v>
      </c>
      <c r="G1346" s="26" t="s">
        <v>1061</v>
      </c>
      <c r="H1346" s="26">
        <v>38.74</v>
      </c>
      <c r="I1346" s="26">
        <v>-87.49</v>
      </c>
      <c r="J1346" s="26">
        <v>130</v>
      </c>
      <c r="M1346" s="26">
        <v>1272</v>
      </c>
      <c r="P1346" s="52">
        <v>2</v>
      </c>
      <c r="Q1346" s="52" t="s">
        <v>994</v>
      </c>
      <c r="R1346" s="52" t="s">
        <v>1065</v>
      </c>
      <c r="S1346" s="52" t="s">
        <v>1558</v>
      </c>
      <c r="T1346" s="52" t="s">
        <v>1558</v>
      </c>
      <c r="U1346" s="52" t="s">
        <v>1558</v>
      </c>
      <c r="V1346" s="52" t="s">
        <v>1905</v>
      </c>
      <c r="W1346" s="26">
        <v>1.44</v>
      </c>
      <c r="Z1346" s="26" t="s">
        <v>531</v>
      </c>
      <c r="AD1346" s="26" t="s">
        <v>1487</v>
      </c>
      <c r="AE1346" s="26" t="s">
        <v>1707</v>
      </c>
      <c r="AF1346" s="152" t="s">
        <v>1761</v>
      </c>
      <c r="AG1346" s="26" t="s">
        <v>190</v>
      </c>
      <c r="AH1346" s="154" t="s">
        <v>1791</v>
      </c>
      <c r="AI1346" s="26" t="s">
        <v>1081</v>
      </c>
      <c r="AJ1346" s="26" t="s">
        <v>1081</v>
      </c>
      <c r="AK1346" s="26" t="s">
        <v>212</v>
      </c>
      <c r="AL1346" s="26" t="s">
        <v>269</v>
      </c>
      <c r="AM1346" s="26" t="s">
        <v>269</v>
      </c>
      <c r="AN1346" s="26" t="s">
        <v>212</v>
      </c>
      <c r="AR1346" s="26" t="s">
        <v>192</v>
      </c>
      <c r="AS1346" s="26">
        <v>4</v>
      </c>
      <c r="AT1346" s="26">
        <v>4</v>
      </c>
      <c r="AU1346" s="26" t="s">
        <v>169</v>
      </c>
      <c r="AY1346" s="26" t="s">
        <v>1063</v>
      </c>
      <c r="BG1346" s="26">
        <v>1.41</v>
      </c>
      <c r="BH1346" s="26">
        <v>1.39</v>
      </c>
      <c r="CH1346" s="26">
        <v>2.2400000000000002</v>
      </c>
      <c r="CI1346" s="26">
        <v>2.97</v>
      </c>
      <c r="CJ1346" s="26" t="s">
        <v>1069</v>
      </c>
      <c r="CK1346" s="26">
        <v>46.87</v>
      </c>
      <c r="CL1346" s="26">
        <v>50.08</v>
      </c>
      <c r="CM1346" s="26" t="s">
        <v>1067</v>
      </c>
      <c r="CN1346" s="26">
        <v>1.32</v>
      </c>
      <c r="CO1346" s="26">
        <v>1.2</v>
      </c>
      <c r="CP1346" s="26" t="s">
        <v>1082</v>
      </c>
      <c r="DF1346" s="26">
        <v>19.5</v>
      </c>
      <c r="DG1346" s="26">
        <v>18.7</v>
      </c>
      <c r="FR1346" s="26" t="s">
        <v>1080</v>
      </c>
      <c r="FT1346" s="26">
        <v>61</v>
      </c>
    </row>
    <row r="1347" spans="1:176" s="26" customFormat="1" x14ac:dyDescent="0.25">
      <c r="A1347" s="26">
        <v>61</v>
      </c>
      <c r="B1347" s="26" t="s">
        <v>1058</v>
      </c>
      <c r="C1347" s="26" t="s">
        <v>1059</v>
      </c>
      <c r="D1347" s="26">
        <v>2003</v>
      </c>
      <c r="E1347" s="26">
        <v>2001</v>
      </c>
      <c r="F1347" s="26" t="s">
        <v>1060</v>
      </c>
      <c r="G1347" s="26" t="s">
        <v>1061</v>
      </c>
      <c r="H1347" s="26">
        <v>38.74</v>
      </c>
      <c r="I1347" s="26">
        <v>-87.49</v>
      </c>
      <c r="J1347" s="26">
        <v>130</v>
      </c>
      <c r="M1347" s="26">
        <v>1272</v>
      </c>
      <c r="P1347" s="52">
        <v>2</v>
      </c>
      <c r="Q1347" s="52" t="s">
        <v>994</v>
      </c>
      <c r="R1347" s="52" t="s">
        <v>1065</v>
      </c>
      <c r="S1347" s="52" t="s">
        <v>1558</v>
      </c>
      <c r="T1347" s="52" t="s">
        <v>1558</v>
      </c>
      <c r="U1347" s="52" t="s">
        <v>1558</v>
      </c>
      <c r="V1347" s="52" t="s">
        <v>1905</v>
      </c>
      <c r="W1347" s="26">
        <v>1.44</v>
      </c>
      <c r="Z1347" s="26" t="s">
        <v>531</v>
      </c>
      <c r="AD1347" s="26" t="s">
        <v>1487</v>
      </c>
      <c r="AE1347" s="26" t="s">
        <v>1707</v>
      </c>
      <c r="AF1347" s="152" t="s">
        <v>1761</v>
      </c>
      <c r="AG1347" s="26" t="s">
        <v>160</v>
      </c>
      <c r="AH1347" s="154" t="s">
        <v>1791</v>
      </c>
      <c r="AI1347" s="26" t="s">
        <v>1081</v>
      </c>
      <c r="AJ1347" s="26" t="s">
        <v>1081</v>
      </c>
      <c r="AK1347" s="26" t="s">
        <v>212</v>
      </c>
      <c r="AL1347" s="26" t="s">
        <v>269</v>
      </c>
      <c r="AM1347" s="26" t="s">
        <v>269</v>
      </c>
      <c r="AN1347" s="26" t="s">
        <v>212</v>
      </c>
      <c r="AR1347" s="26" t="s">
        <v>192</v>
      </c>
      <c r="AS1347" s="26">
        <v>4</v>
      </c>
      <c r="AT1347" s="26">
        <v>4</v>
      </c>
      <c r="AU1347" s="26" t="s">
        <v>169</v>
      </c>
      <c r="AY1347" s="26" t="s">
        <v>1064</v>
      </c>
      <c r="BG1347" s="26">
        <v>1.41</v>
      </c>
      <c r="BH1347" s="26">
        <v>1.37</v>
      </c>
      <c r="CH1347" s="26">
        <v>2.2400000000000002</v>
      </c>
      <c r="CI1347" s="26">
        <v>3.53</v>
      </c>
      <c r="CJ1347" s="26" t="s">
        <v>1069</v>
      </c>
      <c r="CK1347" s="26">
        <v>46.87</v>
      </c>
      <c r="CL1347" s="26">
        <v>50.6</v>
      </c>
      <c r="CM1347" s="26" t="s">
        <v>1067</v>
      </c>
      <c r="CN1347" s="26">
        <v>1.32</v>
      </c>
      <c r="CO1347" s="26">
        <v>1.41</v>
      </c>
      <c r="CP1347" s="26" t="s">
        <v>1082</v>
      </c>
      <c r="DF1347" s="26">
        <v>19.5</v>
      </c>
      <c r="DG1347" s="26">
        <v>17.600000000000001</v>
      </c>
      <c r="FR1347" s="26" t="s">
        <v>1080</v>
      </c>
      <c r="FT1347" s="26">
        <v>61</v>
      </c>
    </row>
    <row r="1348" spans="1:176" s="26" customFormat="1" x14ac:dyDescent="0.25">
      <c r="A1348" s="26">
        <v>61</v>
      </c>
      <c r="B1348" s="26" t="s">
        <v>1058</v>
      </c>
      <c r="C1348" s="26" t="s">
        <v>1059</v>
      </c>
      <c r="D1348" s="26">
        <v>2003</v>
      </c>
      <c r="E1348" s="26">
        <v>2001</v>
      </c>
      <c r="F1348" s="26" t="s">
        <v>1060</v>
      </c>
      <c r="G1348" s="26" t="s">
        <v>1061</v>
      </c>
      <c r="H1348" s="26">
        <v>38.74</v>
      </c>
      <c r="I1348" s="26">
        <v>-87.49</v>
      </c>
      <c r="J1348" s="26">
        <v>130</v>
      </c>
      <c r="M1348" s="26">
        <v>1272</v>
      </c>
      <c r="P1348" s="52">
        <v>2</v>
      </c>
      <c r="Q1348" s="52" t="s">
        <v>994</v>
      </c>
      <c r="R1348" s="52" t="s">
        <v>1065</v>
      </c>
      <c r="S1348" s="52" t="s">
        <v>1558</v>
      </c>
      <c r="T1348" s="52" t="s">
        <v>1558</v>
      </c>
      <c r="U1348" s="52" t="s">
        <v>1558</v>
      </c>
      <c r="V1348" s="52" t="s">
        <v>1905</v>
      </c>
      <c r="W1348" s="26">
        <v>1.44</v>
      </c>
      <c r="Z1348" s="26" t="s">
        <v>531</v>
      </c>
      <c r="AD1348" s="26" t="s">
        <v>1487</v>
      </c>
      <c r="AE1348" s="26" t="s">
        <v>1707</v>
      </c>
      <c r="AF1348" s="152" t="s">
        <v>1761</v>
      </c>
      <c r="AG1348" s="26" t="s">
        <v>190</v>
      </c>
      <c r="AH1348" s="154" t="s">
        <v>1791</v>
      </c>
      <c r="AI1348" s="26" t="s">
        <v>1081</v>
      </c>
      <c r="AJ1348" s="26" t="s">
        <v>1081</v>
      </c>
      <c r="AK1348" s="26" t="s">
        <v>212</v>
      </c>
      <c r="AL1348" s="26" t="s">
        <v>188</v>
      </c>
      <c r="AM1348" s="26" t="s">
        <v>188</v>
      </c>
      <c r="AN1348" s="26" t="s">
        <v>212</v>
      </c>
      <c r="AR1348" s="26" t="s">
        <v>192</v>
      </c>
      <c r="AS1348" s="26">
        <v>4</v>
      </c>
      <c r="AT1348" s="26">
        <v>4</v>
      </c>
      <c r="AU1348" s="26" t="s">
        <v>169</v>
      </c>
      <c r="AY1348" s="26" t="s">
        <v>1063</v>
      </c>
      <c r="BG1348" s="26">
        <v>1.49</v>
      </c>
      <c r="BH1348" s="26">
        <v>1.49</v>
      </c>
      <c r="CH1348" s="26">
        <v>2.21</v>
      </c>
      <c r="CI1348" s="26">
        <v>2.87</v>
      </c>
      <c r="CJ1348" s="26" t="s">
        <v>1069</v>
      </c>
      <c r="CK1348" s="26">
        <v>42.81</v>
      </c>
      <c r="CL1348" s="26">
        <v>41.5</v>
      </c>
      <c r="CM1348" s="26" t="s">
        <v>1067</v>
      </c>
      <c r="CN1348" s="26">
        <v>1.23</v>
      </c>
      <c r="CO1348" s="26">
        <v>1.1000000000000001</v>
      </c>
      <c r="CP1348" s="26" t="s">
        <v>1082</v>
      </c>
      <c r="DF1348" s="26">
        <v>17.899999999999999</v>
      </c>
      <c r="DG1348" s="26">
        <v>16.3</v>
      </c>
      <c r="FR1348" s="26" t="s">
        <v>1080</v>
      </c>
      <c r="FT1348" s="26">
        <v>61</v>
      </c>
    </row>
    <row r="1349" spans="1:176" s="26" customFormat="1" x14ac:dyDescent="0.25">
      <c r="A1349" s="26">
        <v>61</v>
      </c>
      <c r="B1349" s="26" t="s">
        <v>1058</v>
      </c>
      <c r="C1349" s="26" t="s">
        <v>1059</v>
      </c>
      <c r="D1349" s="26">
        <v>2003</v>
      </c>
      <c r="E1349" s="26">
        <v>2001</v>
      </c>
      <c r="F1349" s="26" t="s">
        <v>1060</v>
      </c>
      <c r="G1349" s="26" t="s">
        <v>1061</v>
      </c>
      <c r="H1349" s="26">
        <v>38.74</v>
      </c>
      <c r="I1349" s="26">
        <v>-87.49</v>
      </c>
      <c r="J1349" s="26">
        <v>130</v>
      </c>
      <c r="M1349" s="26">
        <v>1272</v>
      </c>
      <c r="P1349" s="52">
        <v>2</v>
      </c>
      <c r="Q1349" s="52" t="s">
        <v>994</v>
      </c>
      <c r="R1349" s="52" t="s">
        <v>1065</v>
      </c>
      <c r="S1349" s="52" t="s">
        <v>1558</v>
      </c>
      <c r="T1349" s="52" t="s">
        <v>1558</v>
      </c>
      <c r="U1349" s="52" t="s">
        <v>1558</v>
      </c>
      <c r="V1349" s="52" t="s">
        <v>1905</v>
      </c>
      <c r="W1349" s="26">
        <v>1.44</v>
      </c>
      <c r="Z1349" s="26" t="s">
        <v>531</v>
      </c>
      <c r="AD1349" s="26" t="s">
        <v>1487</v>
      </c>
      <c r="AE1349" s="26" t="s">
        <v>1707</v>
      </c>
      <c r="AF1349" s="152" t="s">
        <v>1761</v>
      </c>
      <c r="AG1349" s="26" t="s">
        <v>160</v>
      </c>
      <c r="AH1349" s="154" t="s">
        <v>1791</v>
      </c>
      <c r="AI1349" s="26" t="s">
        <v>1081</v>
      </c>
      <c r="AJ1349" s="26" t="s">
        <v>1081</v>
      </c>
      <c r="AK1349" s="26" t="s">
        <v>212</v>
      </c>
      <c r="AL1349" s="26" t="s">
        <v>188</v>
      </c>
      <c r="AM1349" s="26" t="s">
        <v>188</v>
      </c>
      <c r="AN1349" s="26" t="s">
        <v>212</v>
      </c>
      <c r="AR1349" s="26" t="s">
        <v>192</v>
      </c>
      <c r="AS1349" s="26">
        <v>4</v>
      </c>
      <c r="AT1349" s="26">
        <v>4</v>
      </c>
      <c r="AU1349" s="26" t="s">
        <v>169</v>
      </c>
      <c r="AY1349" s="26" t="s">
        <v>1064</v>
      </c>
      <c r="BG1349" s="26">
        <v>1.49</v>
      </c>
      <c r="BH1349" s="26">
        <v>1.46</v>
      </c>
      <c r="CH1349" s="26">
        <v>2.21</v>
      </c>
      <c r="CI1349" s="26">
        <v>3.17</v>
      </c>
      <c r="CJ1349" s="26" t="s">
        <v>1069</v>
      </c>
      <c r="CK1349" s="26">
        <v>42.81</v>
      </c>
      <c r="CL1349" s="26">
        <v>40.31</v>
      </c>
      <c r="CM1349" s="26" t="s">
        <v>1067</v>
      </c>
      <c r="CN1349" s="26">
        <v>1.23</v>
      </c>
      <c r="CO1349" s="26">
        <v>1.1299999999999999</v>
      </c>
      <c r="CP1349" s="26" t="s">
        <v>1082</v>
      </c>
      <c r="DF1349" s="26">
        <v>17.899999999999999</v>
      </c>
      <c r="DG1349" s="26">
        <v>15.5</v>
      </c>
      <c r="FR1349" s="26" t="s">
        <v>1080</v>
      </c>
      <c r="FT1349" s="26">
        <v>61</v>
      </c>
    </row>
    <row r="1350" spans="1:176" s="26" customFormat="1" x14ac:dyDescent="0.25">
      <c r="A1350" s="26">
        <v>61</v>
      </c>
      <c r="B1350" s="26" t="s">
        <v>1058</v>
      </c>
      <c r="C1350" s="26" t="s">
        <v>1059</v>
      </c>
      <c r="D1350" s="26">
        <v>2003</v>
      </c>
      <c r="E1350" s="26">
        <v>2001</v>
      </c>
      <c r="F1350" s="26" t="s">
        <v>1060</v>
      </c>
      <c r="G1350" s="26" t="s">
        <v>1061</v>
      </c>
      <c r="H1350" s="26">
        <v>38.74</v>
      </c>
      <c r="I1350" s="26">
        <v>-87.49</v>
      </c>
      <c r="J1350" s="26">
        <v>130</v>
      </c>
      <c r="M1350" s="26">
        <v>1272</v>
      </c>
      <c r="P1350" s="52">
        <v>2</v>
      </c>
      <c r="Q1350" s="52" t="s">
        <v>994</v>
      </c>
      <c r="R1350" s="52" t="s">
        <v>1066</v>
      </c>
      <c r="S1350" s="52" t="s">
        <v>1558</v>
      </c>
      <c r="T1350" s="52" t="s">
        <v>1558</v>
      </c>
      <c r="U1350" s="52" t="s">
        <v>1558</v>
      </c>
      <c r="V1350" s="52" t="s">
        <v>1905</v>
      </c>
      <c r="W1350" s="26">
        <v>1.44</v>
      </c>
      <c r="Z1350" s="26" t="s">
        <v>531</v>
      </c>
      <c r="AD1350" s="26" t="s">
        <v>1487</v>
      </c>
      <c r="AE1350" s="26" t="s">
        <v>1707</v>
      </c>
      <c r="AF1350" s="152" t="s">
        <v>1761</v>
      </c>
      <c r="AG1350" s="26" t="s">
        <v>190</v>
      </c>
      <c r="AH1350" s="154" t="s">
        <v>1791</v>
      </c>
      <c r="AI1350" s="26" t="s">
        <v>1081</v>
      </c>
      <c r="AJ1350" s="26" t="s">
        <v>1081</v>
      </c>
      <c r="AK1350" s="26" t="s">
        <v>212</v>
      </c>
      <c r="AL1350" s="26" t="s">
        <v>269</v>
      </c>
      <c r="AM1350" s="26" t="s">
        <v>269</v>
      </c>
      <c r="AN1350" s="26" t="s">
        <v>212</v>
      </c>
      <c r="AR1350" s="26" t="s">
        <v>192</v>
      </c>
      <c r="AS1350" s="26">
        <v>4</v>
      </c>
      <c r="AT1350" s="26">
        <v>4</v>
      </c>
      <c r="AU1350" s="26" t="s">
        <v>169</v>
      </c>
      <c r="AW1350" s="26">
        <v>679</v>
      </c>
      <c r="AY1350" s="26" t="s">
        <v>1063</v>
      </c>
      <c r="BG1350" s="26">
        <v>1.41</v>
      </c>
      <c r="BH1350" s="26">
        <v>1.32</v>
      </c>
      <c r="CH1350" s="26">
        <v>3.03</v>
      </c>
      <c r="CI1350" s="26">
        <v>3.29</v>
      </c>
      <c r="CJ1350" s="26" t="s">
        <v>1069</v>
      </c>
      <c r="CK1350" s="26">
        <v>11.49</v>
      </c>
      <c r="CL1350" s="26">
        <v>15.23</v>
      </c>
      <c r="CM1350" s="26" t="s">
        <v>1067</v>
      </c>
      <c r="CN1350" s="26">
        <v>1.43</v>
      </c>
      <c r="CO1350" s="26">
        <v>1.31</v>
      </c>
      <c r="CP1350" s="26" t="s">
        <v>1082</v>
      </c>
      <c r="CT1350" s="26">
        <v>42</v>
      </c>
      <c r="CU1350" s="26">
        <v>119.4</v>
      </c>
      <c r="DI1350" s="26">
        <f>21.2/1.42</f>
        <v>14.929577464788732</v>
      </c>
      <c r="DJ1350" s="26">
        <f>23.9/1.42</f>
        <v>16.830985915492956</v>
      </c>
      <c r="DK1350" s="107" t="s">
        <v>1074</v>
      </c>
      <c r="FR1350" s="26" t="s">
        <v>1080</v>
      </c>
      <c r="FT1350" s="26">
        <v>61</v>
      </c>
    </row>
    <row r="1351" spans="1:176" s="26" customFormat="1" x14ac:dyDescent="0.25">
      <c r="A1351" s="26">
        <v>61</v>
      </c>
      <c r="B1351" s="26" t="s">
        <v>1058</v>
      </c>
      <c r="C1351" s="26" t="s">
        <v>1059</v>
      </c>
      <c r="D1351" s="26">
        <v>2003</v>
      </c>
      <c r="E1351" s="26">
        <v>2001</v>
      </c>
      <c r="F1351" s="26" t="s">
        <v>1060</v>
      </c>
      <c r="G1351" s="26" t="s">
        <v>1061</v>
      </c>
      <c r="H1351" s="26">
        <v>38.74</v>
      </c>
      <c r="I1351" s="26">
        <v>-87.49</v>
      </c>
      <c r="J1351" s="26">
        <v>130</v>
      </c>
      <c r="M1351" s="26">
        <v>1272</v>
      </c>
      <c r="P1351" s="52">
        <v>2</v>
      </c>
      <c r="Q1351" s="52" t="s">
        <v>994</v>
      </c>
      <c r="R1351" s="52" t="s">
        <v>1066</v>
      </c>
      <c r="S1351" s="52" t="s">
        <v>1558</v>
      </c>
      <c r="T1351" s="52" t="s">
        <v>1558</v>
      </c>
      <c r="U1351" s="52" t="s">
        <v>1558</v>
      </c>
      <c r="V1351" s="52" t="s">
        <v>1905</v>
      </c>
      <c r="W1351" s="26">
        <v>1.44</v>
      </c>
      <c r="Z1351" s="26" t="s">
        <v>531</v>
      </c>
      <c r="AD1351" s="26" t="s">
        <v>1487</v>
      </c>
      <c r="AE1351" s="26" t="s">
        <v>1707</v>
      </c>
      <c r="AF1351" s="152" t="s">
        <v>1761</v>
      </c>
      <c r="AG1351" s="26" t="s">
        <v>160</v>
      </c>
      <c r="AH1351" s="154" t="s">
        <v>1791</v>
      </c>
      <c r="AI1351" s="26" t="s">
        <v>1081</v>
      </c>
      <c r="AJ1351" s="26" t="s">
        <v>1081</v>
      </c>
      <c r="AK1351" s="26" t="s">
        <v>212</v>
      </c>
      <c r="AL1351" s="26" t="s">
        <v>269</v>
      </c>
      <c r="AM1351" s="26" t="s">
        <v>269</v>
      </c>
      <c r="AN1351" s="26" t="s">
        <v>212</v>
      </c>
      <c r="AR1351" s="26" t="s">
        <v>192</v>
      </c>
      <c r="AS1351" s="26">
        <v>4</v>
      </c>
      <c r="AT1351" s="26">
        <v>4</v>
      </c>
      <c r="AU1351" s="26" t="s">
        <v>169</v>
      </c>
      <c r="AW1351" s="26">
        <v>1426</v>
      </c>
      <c r="AY1351" s="26" t="s">
        <v>1064</v>
      </c>
      <c r="BG1351" s="26">
        <v>1.41</v>
      </c>
      <c r="BH1351" s="26">
        <v>1.31</v>
      </c>
      <c r="CH1351" s="26">
        <v>3.02</v>
      </c>
      <c r="CI1351" s="26">
        <v>3.41</v>
      </c>
      <c r="CJ1351" s="26" t="s">
        <v>1069</v>
      </c>
      <c r="CK1351" s="26">
        <v>11.49</v>
      </c>
      <c r="CL1351" s="26">
        <v>14.61</v>
      </c>
      <c r="CM1351" s="26" t="s">
        <v>1067</v>
      </c>
      <c r="CN1351" s="26">
        <v>1.43</v>
      </c>
      <c r="CO1351" s="26">
        <v>1.47</v>
      </c>
      <c r="CP1351" s="26" t="s">
        <v>1082</v>
      </c>
      <c r="CT1351" s="26">
        <v>42</v>
      </c>
      <c r="CU1351" s="26">
        <v>37.200000000000003</v>
      </c>
      <c r="DI1351" s="26">
        <f>21.2/1.42</f>
        <v>14.929577464788732</v>
      </c>
      <c r="DJ1351" s="26">
        <f>22.3/1.42</f>
        <v>15.704225352112678</v>
      </c>
      <c r="DK1351" s="107" t="s">
        <v>1074</v>
      </c>
      <c r="FR1351" s="26" t="s">
        <v>1080</v>
      </c>
      <c r="FT1351" s="26">
        <v>61</v>
      </c>
    </row>
    <row r="1352" spans="1:176" s="26" customFormat="1" x14ac:dyDescent="0.25">
      <c r="A1352" s="26">
        <v>61</v>
      </c>
      <c r="B1352" s="26" t="s">
        <v>1058</v>
      </c>
      <c r="C1352" s="26" t="s">
        <v>1059</v>
      </c>
      <c r="D1352" s="26">
        <v>2003</v>
      </c>
      <c r="E1352" s="26">
        <v>2001</v>
      </c>
      <c r="F1352" s="26" t="s">
        <v>1060</v>
      </c>
      <c r="G1352" s="26" t="s">
        <v>1061</v>
      </c>
      <c r="H1352" s="26">
        <v>38.74</v>
      </c>
      <c r="I1352" s="26">
        <v>-87.49</v>
      </c>
      <c r="J1352" s="26">
        <v>130</v>
      </c>
      <c r="M1352" s="26">
        <v>1272</v>
      </c>
      <c r="P1352" s="52">
        <v>2</v>
      </c>
      <c r="Q1352" s="52" t="s">
        <v>994</v>
      </c>
      <c r="R1352" s="52" t="s">
        <v>1066</v>
      </c>
      <c r="S1352" s="52" t="s">
        <v>1558</v>
      </c>
      <c r="T1352" s="52" t="s">
        <v>1558</v>
      </c>
      <c r="U1352" s="52" t="s">
        <v>1558</v>
      </c>
      <c r="V1352" s="52" t="s">
        <v>1905</v>
      </c>
      <c r="W1352" s="26">
        <v>1.44</v>
      </c>
      <c r="Z1352" s="26" t="s">
        <v>531</v>
      </c>
      <c r="AD1352" s="26" t="s">
        <v>1487</v>
      </c>
      <c r="AE1352" s="26" t="s">
        <v>1707</v>
      </c>
      <c r="AF1352" s="152" t="s">
        <v>1761</v>
      </c>
      <c r="AG1352" s="26" t="s">
        <v>190</v>
      </c>
      <c r="AH1352" s="154" t="s">
        <v>1791</v>
      </c>
      <c r="AI1352" s="26" t="s">
        <v>1081</v>
      </c>
      <c r="AJ1352" s="26" t="s">
        <v>1081</v>
      </c>
      <c r="AK1352" s="26" t="s">
        <v>212</v>
      </c>
      <c r="AL1352" s="26" t="s">
        <v>188</v>
      </c>
      <c r="AM1352" s="26" t="s">
        <v>188</v>
      </c>
      <c r="AN1352" s="26" t="s">
        <v>212</v>
      </c>
      <c r="AR1352" s="26" t="s">
        <v>192</v>
      </c>
      <c r="AS1352" s="26">
        <v>4</v>
      </c>
      <c r="AT1352" s="26">
        <v>4</v>
      </c>
      <c r="AU1352" s="26" t="s">
        <v>169</v>
      </c>
      <c r="AW1352" s="26">
        <v>418</v>
      </c>
      <c r="AY1352" s="26" t="s">
        <v>1063</v>
      </c>
      <c r="BG1352" s="26">
        <v>1.52</v>
      </c>
      <c r="BH1352" s="26">
        <v>1.55</v>
      </c>
      <c r="CH1352" s="26">
        <v>2.57</v>
      </c>
      <c r="CI1352" s="26">
        <v>3.14</v>
      </c>
      <c r="CJ1352" s="26" t="s">
        <v>1069</v>
      </c>
      <c r="CK1352" s="26">
        <v>7.79</v>
      </c>
      <c r="CL1352" s="26">
        <v>5.93</v>
      </c>
      <c r="CM1352" s="26" t="s">
        <v>1067</v>
      </c>
      <c r="CN1352" s="26">
        <v>1.4</v>
      </c>
      <c r="CO1352" s="26">
        <v>1.34</v>
      </c>
      <c r="CP1352" s="26" t="s">
        <v>1082</v>
      </c>
      <c r="DI1352" s="26">
        <f>27.2/1.42</f>
        <v>19.154929577464788</v>
      </c>
      <c r="DJ1352" s="26">
        <f>32.8/1.42</f>
        <v>23.098591549295772</v>
      </c>
      <c r="DK1352" s="107" t="s">
        <v>1074</v>
      </c>
      <c r="FR1352" s="26" t="s">
        <v>1080</v>
      </c>
      <c r="FT1352" s="26">
        <v>61</v>
      </c>
    </row>
    <row r="1353" spans="1:176" s="26" customFormat="1" x14ac:dyDescent="0.25">
      <c r="A1353" s="26">
        <v>61</v>
      </c>
      <c r="B1353" s="26" t="s">
        <v>1058</v>
      </c>
      <c r="C1353" s="26" t="s">
        <v>1059</v>
      </c>
      <c r="D1353" s="26">
        <v>2003</v>
      </c>
      <c r="E1353" s="26">
        <v>2001</v>
      </c>
      <c r="F1353" s="26" t="s">
        <v>1060</v>
      </c>
      <c r="G1353" s="26" t="s">
        <v>1061</v>
      </c>
      <c r="H1353" s="26">
        <v>38.74</v>
      </c>
      <c r="I1353" s="26">
        <v>-87.49</v>
      </c>
      <c r="J1353" s="26">
        <v>130</v>
      </c>
      <c r="M1353" s="26">
        <v>1272</v>
      </c>
      <c r="P1353" s="52">
        <v>2</v>
      </c>
      <c r="Q1353" s="52" t="s">
        <v>994</v>
      </c>
      <c r="R1353" s="52" t="s">
        <v>1066</v>
      </c>
      <c r="S1353" s="52" t="s">
        <v>1558</v>
      </c>
      <c r="T1353" s="52" t="s">
        <v>1558</v>
      </c>
      <c r="U1353" s="52" t="s">
        <v>1558</v>
      </c>
      <c r="V1353" s="52" t="s">
        <v>1905</v>
      </c>
      <c r="W1353" s="26">
        <v>1.44</v>
      </c>
      <c r="Z1353" s="26" t="s">
        <v>531</v>
      </c>
      <c r="AD1353" s="26" t="s">
        <v>1487</v>
      </c>
      <c r="AE1353" s="26" t="s">
        <v>1707</v>
      </c>
      <c r="AF1353" s="152" t="s">
        <v>1761</v>
      </c>
      <c r="AG1353" s="26" t="s">
        <v>160</v>
      </c>
      <c r="AH1353" s="154" t="s">
        <v>1791</v>
      </c>
      <c r="AI1353" s="26" t="s">
        <v>1081</v>
      </c>
      <c r="AJ1353" s="26" t="s">
        <v>1081</v>
      </c>
      <c r="AK1353" s="26" t="s">
        <v>212</v>
      </c>
      <c r="AL1353" s="26" t="s">
        <v>188</v>
      </c>
      <c r="AM1353" s="26" t="s">
        <v>188</v>
      </c>
      <c r="AN1353" s="26" t="s">
        <v>212</v>
      </c>
      <c r="AR1353" s="26" t="s">
        <v>192</v>
      </c>
      <c r="AS1353" s="26">
        <v>4</v>
      </c>
      <c r="AT1353" s="26">
        <v>4</v>
      </c>
      <c r="AU1353" s="26" t="s">
        <v>169</v>
      </c>
      <c r="AW1353" s="26">
        <v>1048</v>
      </c>
      <c r="AY1353" s="26" t="s">
        <v>1064</v>
      </c>
      <c r="BG1353" s="26">
        <v>1.52</v>
      </c>
      <c r="BH1353" s="26">
        <v>1.58</v>
      </c>
      <c r="CH1353" s="26">
        <v>2.57</v>
      </c>
      <c r="CI1353" s="26">
        <v>3.51</v>
      </c>
      <c r="CJ1353" s="26" t="s">
        <v>1069</v>
      </c>
      <c r="CK1353" s="26">
        <v>7.79</v>
      </c>
      <c r="CL1353" s="26">
        <v>4.62</v>
      </c>
      <c r="CM1353" s="26" t="s">
        <v>1067</v>
      </c>
      <c r="CN1353" s="26">
        <v>1.4</v>
      </c>
      <c r="CO1353" s="26">
        <v>1.4</v>
      </c>
      <c r="CP1353" s="26" t="s">
        <v>1082</v>
      </c>
      <c r="DI1353" s="26">
        <f>27.2/1.42</f>
        <v>19.154929577464788</v>
      </c>
      <c r="DJ1353" s="26">
        <f>28.5/1.42</f>
        <v>20.070422535211268</v>
      </c>
      <c r="DK1353" s="107" t="s">
        <v>1074</v>
      </c>
      <c r="FR1353" s="26" t="s">
        <v>1080</v>
      </c>
      <c r="FT1353" s="26">
        <v>61</v>
      </c>
    </row>
    <row r="1354" spans="1:176" s="83" customFormat="1" x14ac:dyDescent="0.25">
      <c r="A1354" s="83">
        <v>61</v>
      </c>
      <c r="B1354" s="83" t="s">
        <v>1058</v>
      </c>
      <c r="C1354" s="83" t="s">
        <v>1059</v>
      </c>
      <c r="D1354" s="83">
        <v>2003</v>
      </c>
      <c r="E1354" s="83">
        <v>2001</v>
      </c>
      <c r="F1354" s="83" t="s">
        <v>1060</v>
      </c>
      <c r="G1354" s="83" t="s">
        <v>1062</v>
      </c>
      <c r="H1354" s="83">
        <v>40.299999999999997</v>
      </c>
      <c r="I1354" s="83">
        <v>-86.9</v>
      </c>
      <c r="J1354" s="83">
        <v>221</v>
      </c>
      <c r="M1354" s="26">
        <v>910</v>
      </c>
      <c r="P1354" s="84">
        <v>2</v>
      </c>
      <c r="Q1354" s="84" t="s">
        <v>994</v>
      </c>
      <c r="R1354" s="84" t="s">
        <v>1065</v>
      </c>
      <c r="S1354" s="84" t="s">
        <v>1558</v>
      </c>
      <c r="T1354" s="84" t="s">
        <v>1558</v>
      </c>
      <c r="U1354" s="84" t="s">
        <v>1558</v>
      </c>
      <c r="V1354" s="52" t="s">
        <v>1905</v>
      </c>
      <c r="W1354" s="83">
        <v>1.42</v>
      </c>
      <c r="Z1354" s="83" t="s">
        <v>531</v>
      </c>
      <c r="AD1354" s="83" t="s">
        <v>1487</v>
      </c>
      <c r="AE1354" s="83" t="s">
        <v>1707</v>
      </c>
      <c r="AF1354" s="152" t="s">
        <v>1761</v>
      </c>
      <c r="AG1354" s="83" t="s">
        <v>190</v>
      </c>
      <c r="AH1354" s="154" t="s">
        <v>1791</v>
      </c>
      <c r="AI1354" s="83" t="s">
        <v>1081</v>
      </c>
      <c r="AJ1354" s="83" t="s">
        <v>1081</v>
      </c>
      <c r="AK1354" s="83" t="s">
        <v>212</v>
      </c>
      <c r="AL1354" s="83" t="s">
        <v>269</v>
      </c>
      <c r="AM1354" s="83" t="s">
        <v>269</v>
      </c>
      <c r="AN1354" s="83" t="s">
        <v>212</v>
      </c>
      <c r="AR1354" s="83" t="s">
        <v>192</v>
      </c>
      <c r="AS1354" s="83">
        <v>4</v>
      </c>
      <c r="AT1354" s="83">
        <v>4</v>
      </c>
      <c r="AU1354" s="83" t="s">
        <v>169</v>
      </c>
      <c r="AY1354" s="83" t="s">
        <v>1063</v>
      </c>
      <c r="CK1354" s="83">
        <v>49.51</v>
      </c>
      <c r="CL1354" s="83">
        <v>49.51</v>
      </c>
      <c r="CM1354" s="83" t="s">
        <v>1067</v>
      </c>
      <c r="CN1354" s="83">
        <v>1.43</v>
      </c>
      <c r="CO1354" s="83">
        <v>1.78</v>
      </c>
      <c r="CP1354" s="26" t="s">
        <v>1082</v>
      </c>
      <c r="CT1354" s="83">
        <v>81.599999999999994</v>
      </c>
      <c r="CU1354" s="83">
        <v>84.6</v>
      </c>
      <c r="DF1354" s="83">
        <v>23</v>
      </c>
      <c r="DG1354" s="83">
        <v>22.1</v>
      </c>
      <c r="DI1354" s="83">
        <f>13.9/1.42</f>
        <v>9.7887323943661979</v>
      </c>
      <c r="DJ1354" s="83">
        <f>19.6/1.42</f>
        <v>13.802816901408452</v>
      </c>
      <c r="DK1354" s="107" t="s">
        <v>1075</v>
      </c>
      <c r="FR1354" s="83" t="s">
        <v>1080</v>
      </c>
      <c r="FT1354" s="83">
        <v>61</v>
      </c>
    </row>
    <row r="1355" spans="1:176" s="83" customFormat="1" x14ac:dyDescent="0.25">
      <c r="A1355" s="83">
        <v>61</v>
      </c>
      <c r="B1355" s="83" t="s">
        <v>1058</v>
      </c>
      <c r="C1355" s="83" t="s">
        <v>1059</v>
      </c>
      <c r="D1355" s="83">
        <v>2003</v>
      </c>
      <c r="E1355" s="83">
        <v>2001</v>
      </c>
      <c r="F1355" s="83" t="s">
        <v>1060</v>
      </c>
      <c r="G1355" s="83" t="s">
        <v>1062</v>
      </c>
      <c r="H1355" s="83">
        <v>40.299999999999997</v>
      </c>
      <c r="I1355" s="83">
        <v>-86.9</v>
      </c>
      <c r="J1355" s="83">
        <v>221</v>
      </c>
      <c r="M1355" s="26">
        <v>910</v>
      </c>
      <c r="P1355" s="84">
        <v>2</v>
      </c>
      <c r="Q1355" s="84" t="s">
        <v>994</v>
      </c>
      <c r="R1355" s="84" t="s">
        <v>1065</v>
      </c>
      <c r="S1355" s="84" t="s">
        <v>1558</v>
      </c>
      <c r="T1355" s="84" t="s">
        <v>1558</v>
      </c>
      <c r="U1355" s="84" t="s">
        <v>1558</v>
      </c>
      <c r="V1355" s="52" t="s">
        <v>1905</v>
      </c>
      <c r="W1355" s="83">
        <v>1.42</v>
      </c>
      <c r="Z1355" s="83" t="s">
        <v>531</v>
      </c>
      <c r="AD1355" s="83" t="s">
        <v>1487</v>
      </c>
      <c r="AE1355" s="83" t="s">
        <v>1707</v>
      </c>
      <c r="AF1355" s="152" t="s">
        <v>1761</v>
      </c>
      <c r="AG1355" s="83" t="s">
        <v>160</v>
      </c>
      <c r="AH1355" s="154" t="s">
        <v>1791</v>
      </c>
      <c r="AI1355" s="83" t="s">
        <v>1081</v>
      </c>
      <c r="AJ1355" s="83" t="s">
        <v>1081</v>
      </c>
      <c r="AK1355" s="83" t="s">
        <v>212</v>
      </c>
      <c r="AL1355" s="83" t="s">
        <v>269</v>
      </c>
      <c r="AM1355" s="83" t="s">
        <v>269</v>
      </c>
      <c r="AN1355" s="83" t="s">
        <v>212</v>
      </c>
      <c r="AR1355" s="83" t="s">
        <v>192</v>
      </c>
      <c r="AS1355" s="83">
        <v>4</v>
      </c>
      <c r="AT1355" s="83">
        <v>4</v>
      </c>
      <c r="AU1355" s="83" t="s">
        <v>169</v>
      </c>
      <c r="AY1355" s="83" t="s">
        <v>1064</v>
      </c>
      <c r="CK1355" s="83">
        <v>49.51</v>
      </c>
      <c r="CL1355" s="83">
        <v>50.2</v>
      </c>
      <c r="CM1355" s="83" t="s">
        <v>1067</v>
      </c>
      <c r="CN1355" s="83">
        <v>1.43</v>
      </c>
      <c r="CO1355" s="83">
        <v>1.93</v>
      </c>
      <c r="CP1355" s="26" t="s">
        <v>1082</v>
      </c>
      <c r="CT1355" s="83">
        <v>81.599999999999994</v>
      </c>
      <c r="CU1355" s="83">
        <v>98.4</v>
      </c>
      <c r="DF1355" s="83">
        <v>23</v>
      </c>
      <c r="DG1355" s="83">
        <v>21.7</v>
      </c>
      <c r="DI1355" s="83">
        <f>13.9/1.42</f>
        <v>9.7887323943661979</v>
      </c>
      <c r="DJ1355" s="83">
        <f>12.8/1.42</f>
        <v>9.0140845070422539</v>
      </c>
      <c r="DK1355" s="107" t="s">
        <v>1075</v>
      </c>
      <c r="FR1355" s="83" t="s">
        <v>1080</v>
      </c>
      <c r="FT1355" s="83">
        <v>61</v>
      </c>
    </row>
    <row r="1356" spans="1:176" s="83" customFormat="1" x14ac:dyDescent="0.25">
      <c r="A1356" s="83">
        <v>61</v>
      </c>
      <c r="B1356" s="83" t="s">
        <v>1058</v>
      </c>
      <c r="C1356" s="83" t="s">
        <v>1059</v>
      </c>
      <c r="D1356" s="83">
        <v>2003</v>
      </c>
      <c r="E1356" s="83">
        <v>2001</v>
      </c>
      <c r="F1356" s="83" t="s">
        <v>1060</v>
      </c>
      <c r="G1356" s="83" t="s">
        <v>1062</v>
      </c>
      <c r="H1356" s="83">
        <v>40.299999999999997</v>
      </c>
      <c r="I1356" s="83">
        <v>-86.9</v>
      </c>
      <c r="J1356" s="83">
        <v>221</v>
      </c>
      <c r="M1356" s="26">
        <v>910</v>
      </c>
      <c r="P1356" s="84">
        <v>2</v>
      </c>
      <c r="Q1356" s="84" t="s">
        <v>994</v>
      </c>
      <c r="R1356" s="84" t="s">
        <v>1065</v>
      </c>
      <c r="S1356" s="84" t="s">
        <v>1558</v>
      </c>
      <c r="T1356" s="84" t="s">
        <v>1558</v>
      </c>
      <c r="U1356" s="84" t="s">
        <v>1558</v>
      </c>
      <c r="V1356" s="52" t="s">
        <v>1905</v>
      </c>
      <c r="W1356" s="83">
        <v>1.42</v>
      </c>
      <c r="Z1356" s="83" t="s">
        <v>531</v>
      </c>
      <c r="AD1356" s="83" t="s">
        <v>1487</v>
      </c>
      <c r="AE1356" s="83" t="s">
        <v>1707</v>
      </c>
      <c r="AF1356" s="152" t="s">
        <v>1761</v>
      </c>
      <c r="AG1356" s="83" t="s">
        <v>190</v>
      </c>
      <c r="AH1356" s="154" t="s">
        <v>1791</v>
      </c>
      <c r="AI1356" s="83" t="s">
        <v>1081</v>
      </c>
      <c r="AJ1356" s="83" t="s">
        <v>1081</v>
      </c>
      <c r="AK1356" s="83" t="s">
        <v>212</v>
      </c>
      <c r="AL1356" s="83" t="s">
        <v>188</v>
      </c>
      <c r="AM1356" s="83" t="s">
        <v>188</v>
      </c>
      <c r="AN1356" s="83" t="s">
        <v>212</v>
      </c>
      <c r="AR1356" s="83" t="s">
        <v>192</v>
      </c>
      <c r="AS1356" s="83">
        <v>4</v>
      </c>
      <c r="AT1356" s="83">
        <v>4</v>
      </c>
      <c r="AU1356" s="83" t="s">
        <v>169</v>
      </c>
      <c r="AY1356" s="83" t="s">
        <v>1063</v>
      </c>
      <c r="CK1356" s="83">
        <v>40.6</v>
      </c>
      <c r="CL1356" s="83">
        <v>43.77</v>
      </c>
      <c r="CM1356" s="83" t="s">
        <v>1067</v>
      </c>
      <c r="CN1356" s="83">
        <v>1.79</v>
      </c>
      <c r="CO1356" s="83">
        <v>2.14</v>
      </c>
      <c r="CP1356" s="26" t="s">
        <v>1082</v>
      </c>
      <c r="DF1356" s="83">
        <v>22.1</v>
      </c>
      <c r="DG1356" s="83">
        <v>21</v>
      </c>
      <c r="DI1356" s="83">
        <f>17.2/1.42</f>
        <v>12.112676056338028</v>
      </c>
      <c r="DJ1356" s="83">
        <f>28.9/1.42</f>
        <v>20.35211267605634</v>
      </c>
      <c r="DK1356" s="107" t="s">
        <v>1075</v>
      </c>
      <c r="FR1356" s="83" t="s">
        <v>1080</v>
      </c>
      <c r="FT1356" s="83">
        <v>61</v>
      </c>
    </row>
    <row r="1357" spans="1:176" s="83" customFormat="1" x14ac:dyDescent="0.25">
      <c r="A1357" s="83">
        <v>61</v>
      </c>
      <c r="B1357" s="83" t="s">
        <v>1058</v>
      </c>
      <c r="C1357" s="83" t="s">
        <v>1059</v>
      </c>
      <c r="D1357" s="83">
        <v>2003</v>
      </c>
      <c r="E1357" s="83">
        <v>2001</v>
      </c>
      <c r="F1357" s="83" t="s">
        <v>1060</v>
      </c>
      <c r="G1357" s="83" t="s">
        <v>1062</v>
      </c>
      <c r="H1357" s="83">
        <v>40.299999999999997</v>
      </c>
      <c r="I1357" s="83">
        <v>-86.9</v>
      </c>
      <c r="J1357" s="83">
        <v>221</v>
      </c>
      <c r="M1357" s="26">
        <v>910</v>
      </c>
      <c r="P1357" s="84">
        <v>2</v>
      </c>
      <c r="Q1357" s="84" t="s">
        <v>994</v>
      </c>
      <c r="R1357" s="84" t="s">
        <v>1065</v>
      </c>
      <c r="S1357" s="84" t="s">
        <v>1558</v>
      </c>
      <c r="T1357" s="84" t="s">
        <v>1558</v>
      </c>
      <c r="U1357" s="84" t="s">
        <v>1558</v>
      </c>
      <c r="V1357" s="52" t="s">
        <v>1905</v>
      </c>
      <c r="W1357" s="83">
        <v>1.42</v>
      </c>
      <c r="Z1357" s="83" t="s">
        <v>531</v>
      </c>
      <c r="AD1357" s="83" t="s">
        <v>1487</v>
      </c>
      <c r="AE1357" s="83" t="s">
        <v>1707</v>
      </c>
      <c r="AF1357" s="152" t="s">
        <v>1761</v>
      </c>
      <c r="AG1357" s="83" t="s">
        <v>160</v>
      </c>
      <c r="AH1357" s="154" t="s">
        <v>1791</v>
      </c>
      <c r="AI1357" s="83" t="s">
        <v>1081</v>
      </c>
      <c r="AJ1357" s="83" t="s">
        <v>1081</v>
      </c>
      <c r="AK1357" s="83" t="s">
        <v>212</v>
      </c>
      <c r="AL1357" s="83" t="s">
        <v>188</v>
      </c>
      <c r="AM1357" s="83" t="s">
        <v>188</v>
      </c>
      <c r="AN1357" s="83" t="s">
        <v>212</v>
      </c>
      <c r="AR1357" s="83" t="s">
        <v>192</v>
      </c>
      <c r="AS1357" s="83">
        <v>4</v>
      </c>
      <c r="AT1357" s="83">
        <v>4</v>
      </c>
      <c r="AU1357" s="83" t="s">
        <v>169</v>
      </c>
      <c r="AY1357" s="83" t="s">
        <v>1064</v>
      </c>
      <c r="CK1357" s="83">
        <v>40.6</v>
      </c>
      <c r="CL1357" s="83">
        <v>42.64</v>
      </c>
      <c r="CM1357" s="83" t="s">
        <v>1067</v>
      </c>
      <c r="CN1357" s="83">
        <v>1.79</v>
      </c>
      <c r="CO1357" s="83">
        <v>1.57</v>
      </c>
      <c r="CP1357" s="26" t="s">
        <v>1082</v>
      </c>
      <c r="DF1357" s="83">
        <v>22.1</v>
      </c>
      <c r="DG1357" s="83">
        <v>21</v>
      </c>
      <c r="DI1357" s="83">
        <f>17.2/1.43</f>
        <v>12.027972027972028</v>
      </c>
      <c r="DJ1357" s="83">
        <f>17.9/1.42</f>
        <v>12.6056338028169</v>
      </c>
      <c r="DK1357" s="107" t="s">
        <v>1075</v>
      </c>
      <c r="FR1357" s="83" t="s">
        <v>1080</v>
      </c>
      <c r="FT1357" s="83">
        <v>61</v>
      </c>
    </row>
    <row r="1358" spans="1:176" s="83" customFormat="1" x14ac:dyDescent="0.25">
      <c r="A1358" s="83">
        <v>61</v>
      </c>
      <c r="B1358" s="83" t="s">
        <v>1058</v>
      </c>
      <c r="C1358" s="83" t="s">
        <v>1059</v>
      </c>
      <c r="D1358" s="83">
        <v>2003</v>
      </c>
      <c r="E1358" s="83">
        <v>2001</v>
      </c>
      <c r="F1358" s="83" t="s">
        <v>1060</v>
      </c>
      <c r="G1358" s="83" t="s">
        <v>1062</v>
      </c>
      <c r="H1358" s="83">
        <v>40.299999999999997</v>
      </c>
      <c r="I1358" s="83">
        <v>-86.9</v>
      </c>
      <c r="J1358" s="83">
        <v>221</v>
      </c>
      <c r="M1358" s="26">
        <v>910</v>
      </c>
      <c r="P1358" s="84">
        <v>2</v>
      </c>
      <c r="Q1358" s="84" t="s">
        <v>994</v>
      </c>
      <c r="R1358" s="84" t="s">
        <v>1066</v>
      </c>
      <c r="S1358" s="84" t="s">
        <v>1558</v>
      </c>
      <c r="T1358" s="84" t="s">
        <v>1558</v>
      </c>
      <c r="U1358" s="84" t="s">
        <v>1558</v>
      </c>
      <c r="V1358" s="52" t="s">
        <v>1905</v>
      </c>
      <c r="W1358" s="83">
        <v>1.42</v>
      </c>
      <c r="Z1358" s="83" t="s">
        <v>531</v>
      </c>
      <c r="AD1358" s="83" t="s">
        <v>1487</v>
      </c>
      <c r="AE1358" s="83" t="s">
        <v>1707</v>
      </c>
      <c r="AF1358" s="152" t="s">
        <v>1761</v>
      </c>
      <c r="AG1358" s="83" t="s">
        <v>190</v>
      </c>
      <c r="AH1358" s="154" t="s">
        <v>1791</v>
      </c>
      <c r="AI1358" s="83" t="s">
        <v>1081</v>
      </c>
      <c r="AJ1358" s="83" t="s">
        <v>1081</v>
      </c>
      <c r="AK1358" s="83" t="s">
        <v>212</v>
      </c>
      <c r="AL1358" s="83" t="s">
        <v>269</v>
      </c>
      <c r="AM1358" s="83" t="s">
        <v>269</v>
      </c>
      <c r="AN1358" s="83" t="s">
        <v>212</v>
      </c>
      <c r="AR1358" s="83" t="s">
        <v>192</v>
      </c>
      <c r="AS1358" s="83">
        <v>4</v>
      </c>
      <c r="AT1358" s="83">
        <v>4</v>
      </c>
      <c r="AU1358" s="83" t="s">
        <v>169</v>
      </c>
      <c r="AW1358" s="83">
        <v>740</v>
      </c>
      <c r="AY1358" s="83" t="s">
        <v>1063</v>
      </c>
      <c r="BG1358" s="83">
        <v>1.34</v>
      </c>
      <c r="BH1358" s="83">
        <v>1.34</v>
      </c>
      <c r="CK1358" s="83">
        <v>17.28</v>
      </c>
      <c r="CL1358" s="83">
        <v>14.66</v>
      </c>
      <c r="CM1358" s="83" t="s">
        <v>1067</v>
      </c>
      <c r="CN1358" s="83">
        <v>1.83</v>
      </c>
      <c r="CO1358" s="83">
        <v>2.25</v>
      </c>
      <c r="CP1358" s="26" t="s">
        <v>1082</v>
      </c>
      <c r="CT1358" s="83">
        <v>72.599999999999994</v>
      </c>
      <c r="CU1358" s="83">
        <v>61.8</v>
      </c>
      <c r="DF1358" s="83">
        <v>29.9</v>
      </c>
      <c r="DG1358" s="83">
        <v>28.2</v>
      </c>
      <c r="DI1358" s="83">
        <f>24/1.42</f>
        <v>16.901408450704228</v>
      </c>
      <c r="DJ1358" s="83">
        <f>24.4/1.42</f>
        <v>17.183098591549296</v>
      </c>
      <c r="DK1358" s="107" t="s">
        <v>1076</v>
      </c>
      <c r="FR1358" s="83" t="s">
        <v>1080</v>
      </c>
      <c r="FT1358" s="83">
        <v>61</v>
      </c>
    </row>
    <row r="1359" spans="1:176" s="83" customFormat="1" x14ac:dyDescent="0.25">
      <c r="A1359" s="83">
        <v>61</v>
      </c>
      <c r="B1359" s="83" t="s">
        <v>1058</v>
      </c>
      <c r="C1359" s="83" t="s">
        <v>1059</v>
      </c>
      <c r="D1359" s="83">
        <v>2003</v>
      </c>
      <c r="E1359" s="83">
        <v>2001</v>
      </c>
      <c r="F1359" s="83" t="s">
        <v>1060</v>
      </c>
      <c r="G1359" s="83" t="s">
        <v>1062</v>
      </c>
      <c r="H1359" s="83">
        <v>40.299999999999997</v>
      </c>
      <c r="I1359" s="83">
        <v>-86.9</v>
      </c>
      <c r="J1359" s="83">
        <v>221</v>
      </c>
      <c r="M1359" s="26">
        <v>910</v>
      </c>
      <c r="P1359" s="84">
        <v>2</v>
      </c>
      <c r="Q1359" s="84" t="s">
        <v>994</v>
      </c>
      <c r="R1359" s="84" t="s">
        <v>1066</v>
      </c>
      <c r="S1359" s="84" t="s">
        <v>1558</v>
      </c>
      <c r="T1359" s="84" t="s">
        <v>1558</v>
      </c>
      <c r="U1359" s="84" t="s">
        <v>1558</v>
      </c>
      <c r="V1359" s="52" t="s">
        <v>1905</v>
      </c>
      <c r="W1359" s="83">
        <v>1.42</v>
      </c>
      <c r="Z1359" s="83" t="s">
        <v>531</v>
      </c>
      <c r="AD1359" s="83" t="s">
        <v>1487</v>
      </c>
      <c r="AE1359" s="83" t="s">
        <v>1707</v>
      </c>
      <c r="AF1359" s="152" t="s">
        <v>1761</v>
      </c>
      <c r="AG1359" s="83" t="s">
        <v>160</v>
      </c>
      <c r="AH1359" s="154" t="s">
        <v>1791</v>
      </c>
      <c r="AI1359" s="83" t="s">
        <v>1081</v>
      </c>
      <c r="AJ1359" s="83" t="s">
        <v>1081</v>
      </c>
      <c r="AK1359" s="83" t="s">
        <v>212</v>
      </c>
      <c r="AL1359" s="83" t="s">
        <v>269</v>
      </c>
      <c r="AM1359" s="83" t="s">
        <v>269</v>
      </c>
      <c r="AN1359" s="83" t="s">
        <v>212</v>
      </c>
      <c r="AR1359" s="83" t="s">
        <v>192</v>
      </c>
      <c r="AS1359" s="83">
        <v>4</v>
      </c>
      <c r="AT1359" s="83">
        <v>4</v>
      </c>
      <c r="AU1359" s="83" t="s">
        <v>169</v>
      </c>
      <c r="AW1359" s="83">
        <v>1624</v>
      </c>
      <c r="AY1359" s="83" t="s">
        <v>1064</v>
      </c>
      <c r="BG1359" s="83">
        <v>1.34</v>
      </c>
      <c r="BH1359" s="83">
        <v>1.32</v>
      </c>
      <c r="CK1359" s="83">
        <v>17.28</v>
      </c>
      <c r="CL1359" s="83">
        <v>12.91</v>
      </c>
      <c r="CM1359" s="83" t="s">
        <v>1067</v>
      </c>
      <c r="CN1359" s="83">
        <v>1.83</v>
      </c>
      <c r="CO1359" s="83">
        <v>2.8</v>
      </c>
      <c r="CP1359" s="26" t="s">
        <v>1082</v>
      </c>
      <c r="CT1359" s="83">
        <v>72.599999999999994</v>
      </c>
      <c r="CU1359" s="83">
        <v>71.400000000000006</v>
      </c>
      <c r="DF1359" s="83">
        <v>29.6</v>
      </c>
      <c r="DG1359" s="83">
        <v>28.2</v>
      </c>
      <c r="DI1359" s="83">
        <f>24/1.42</f>
        <v>16.901408450704228</v>
      </c>
      <c r="DJ1359" s="83">
        <f>24/1.42</f>
        <v>16.901408450704228</v>
      </c>
      <c r="DK1359" s="107" t="s">
        <v>1076</v>
      </c>
      <c r="FR1359" s="83" t="s">
        <v>1080</v>
      </c>
      <c r="FT1359" s="83">
        <v>61</v>
      </c>
    </row>
    <row r="1360" spans="1:176" s="83" customFormat="1" x14ac:dyDescent="0.25">
      <c r="A1360" s="83">
        <v>61</v>
      </c>
      <c r="B1360" s="83" t="s">
        <v>1058</v>
      </c>
      <c r="C1360" s="83" t="s">
        <v>1059</v>
      </c>
      <c r="D1360" s="83">
        <v>2003</v>
      </c>
      <c r="E1360" s="83">
        <v>2001</v>
      </c>
      <c r="F1360" s="83" t="s">
        <v>1060</v>
      </c>
      <c r="G1360" s="83" t="s">
        <v>1062</v>
      </c>
      <c r="H1360" s="83">
        <v>40.299999999999997</v>
      </c>
      <c r="I1360" s="83">
        <v>-86.9</v>
      </c>
      <c r="J1360" s="83">
        <v>221</v>
      </c>
      <c r="M1360" s="26">
        <v>910</v>
      </c>
      <c r="P1360" s="84">
        <v>2</v>
      </c>
      <c r="Q1360" s="84" t="s">
        <v>994</v>
      </c>
      <c r="R1360" s="84" t="s">
        <v>1066</v>
      </c>
      <c r="S1360" s="84" t="s">
        <v>1558</v>
      </c>
      <c r="T1360" s="84" t="s">
        <v>1558</v>
      </c>
      <c r="U1360" s="84" t="s">
        <v>1558</v>
      </c>
      <c r="V1360" s="52" t="s">
        <v>1905</v>
      </c>
      <c r="W1360" s="83">
        <v>1.42</v>
      </c>
      <c r="Z1360" s="83" t="s">
        <v>531</v>
      </c>
      <c r="AD1360" s="83" t="s">
        <v>1487</v>
      </c>
      <c r="AE1360" s="83" t="s">
        <v>1707</v>
      </c>
      <c r="AF1360" s="152" t="s">
        <v>1761</v>
      </c>
      <c r="AG1360" s="83" t="s">
        <v>190</v>
      </c>
      <c r="AH1360" s="154" t="s">
        <v>1791</v>
      </c>
      <c r="AI1360" s="83" t="s">
        <v>1081</v>
      </c>
      <c r="AJ1360" s="83" t="s">
        <v>1081</v>
      </c>
      <c r="AK1360" s="83" t="s">
        <v>212</v>
      </c>
      <c r="AL1360" s="83" t="s">
        <v>188</v>
      </c>
      <c r="AM1360" s="83" t="s">
        <v>188</v>
      </c>
      <c r="AN1360" s="83" t="s">
        <v>212</v>
      </c>
      <c r="AR1360" s="83" t="s">
        <v>192</v>
      </c>
      <c r="AS1360" s="83">
        <v>4</v>
      </c>
      <c r="AT1360" s="83">
        <v>4</v>
      </c>
      <c r="AU1360" s="83" t="s">
        <v>169</v>
      </c>
      <c r="AW1360" s="83">
        <v>413</v>
      </c>
      <c r="AY1360" s="83" t="s">
        <v>1063</v>
      </c>
      <c r="BG1360" s="83">
        <v>1.57</v>
      </c>
      <c r="BH1360" s="83">
        <v>1.49</v>
      </c>
      <c r="CK1360" s="83">
        <v>5.5</v>
      </c>
      <c r="CL1360" s="83">
        <v>6.06</v>
      </c>
      <c r="CM1360" s="83" t="s">
        <v>1067</v>
      </c>
      <c r="CN1360" s="83">
        <v>2</v>
      </c>
      <c r="CO1360" s="83">
        <v>2.2200000000000002</v>
      </c>
      <c r="CP1360" s="26" t="s">
        <v>1082</v>
      </c>
      <c r="DF1360" s="83">
        <v>28.6</v>
      </c>
      <c r="DG1360" s="83">
        <v>27.8</v>
      </c>
      <c r="DI1360" s="83">
        <f>29.9/1.42</f>
        <v>21.056338028169016</v>
      </c>
      <c r="DJ1360" s="83">
        <f>30.7/1.42</f>
        <v>21.619718309859156</v>
      </c>
      <c r="DK1360" s="107" t="s">
        <v>1076</v>
      </c>
      <c r="FR1360" s="83" t="s">
        <v>1080</v>
      </c>
      <c r="FT1360" s="83">
        <v>61</v>
      </c>
    </row>
    <row r="1361" spans="1:176" s="83" customFormat="1" x14ac:dyDescent="0.25">
      <c r="A1361" s="83">
        <v>61</v>
      </c>
      <c r="B1361" s="83" t="s">
        <v>1058</v>
      </c>
      <c r="C1361" s="83" t="s">
        <v>1059</v>
      </c>
      <c r="D1361" s="83">
        <v>2003</v>
      </c>
      <c r="E1361" s="83">
        <v>2001</v>
      </c>
      <c r="F1361" s="83" t="s">
        <v>1060</v>
      </c>
      <c r="G1361" s="83" t="s">
        <v>1062</v>
      </c>
      <c r="H1361" s="83">
        <v>40.299999999999997</v>
      </c>
      <c r="I1361" s="83">
        <v>-86.9</v>
      </c>
      <c r="J1361" s="83">
        <v>221</v>
      </c>
      <c r="M1361" s="26">
        <v>910</v>
      </c>
      <c r="P1361" s="84">
        <v>2</v>
      </c>
      <c r="Q1361" s="84" t="s">
        <v>994</v>
      </c>
      <c r="R1361" s="84" t="s">
        <v>1066</v>
      </c>
      <c r="S1361" s="84" t="s">
        <v>1558</v>
      </c>
      <c r="T1361" s="84" t="s">
        <v>1558</v>
      </c>
      <c r="U1361" s="84" t="s">
        <v>1558</v>
      </c>
      <c r="V1361" s="52" t="s">
        <v>1905</v>
      </c>
      <c r="W1361" s="83">
        <v>1.42</v>
      </c>
      <c r="Z1361" s="83" t="s">
        <v>531</v>
      </c>
      <c r="AD1361" s="83" t="s">
        <v>1487</v>
      </c>
      <c r="AE1361" s="83" t="s">
        <v>1707</v>
      </c>
      <c r="AF1361" s="152" t="s">
        <v>1761</v>
      </c>
      <c r="AG1361" s="83" t="s">
        <v>160</v>
      </c>
      <c r="AH1361" s="154" t="s">
        <v>1791</v>
      </c>
      <c r="AI1361" s="83" t="s">
        <v>1081</v>
      </c>
      <c r="AJ1361" s="83" t="s">
        <v>1081</v>
      </c>
      <c r="AK1361" s="83" t="s">
        <v>212</v>
      </c>
      <c r="AL1361" s="83" t="s">
        <v>188</v>
      </c>
      <c r="AM1361" s="83" t="s">
        <v>188</v>
      </c>
      <c r="AN1361" s="83" t="s">
        <v>212</v>
      </c>
      <c r="AR1361" s="83" t="s">
        <v>192</v>
      </c>
      <c r="AS1361" s="83">
        <v>4</v>
      </c>
      <c r="AT1361" s="83">
        <v>4</v>
      </c>
      <c r="AU1361" s="83" t="s">
        <v>169</v>
      </c>
      <c r="AW1361" s="83">
        <v>1509</v>
      </c>
      <c r="AY1361" s="83" t="s">
        <v>1064</v>
      </c>
      <c r="BG1361" s="83">
        <v>1.57</v>
      </c>
      <c r="BH1361" s="83">
        <v>1.52</v>
      </c>
      <c r="CK1361" s="83">
        <v>5.5</v>
      </c>
      <c r="CL1361" s="83">
        <v>5.55</v>
      </c>
      <c r="CM1361" s="83" t="s">
        <v>1067</v>
      </c>
      <c r="CN1361" s="83">
        <v>2</v>
      </c>
      <c r="CO1361" s="83">
        <v>1.72</v>
      </c>
      <c r="CP1361" s="26" t="s">
        <v>1082</v>
      </c>
      <c r="DF1361" s="83">
        <v>28.6</v>
      </c>
      <c r="DG1361" s="83">
        <v>28</v>
      </c>
      <c r="DI1361" s="83">
        <f>29.9/1.42</f>
        <v>21.056338028169016</v>
      </c>
      <c r="DJ1361" s="83">
        <f>34.4/1.42</f>
        <v>24.225352112676056</v>
      </c>
      <c r="DK1361" s="107" t="s">
        <v>1076</v>
      </c>
      <c r="FR1361" s="83" t="s">
        <v>1080</v>
      </c>
      <c r="FT1361" s="83">
        <v>61</v>
      </c>
    </row>
    <row r="1362" spans="1:176" s="35" customFormat="1" x14ac:dyDescent="0.25">
      <c r="A1362" s="35">
        <v>61</v>
      </c>
      <c r="B1362" s="35" t="s">
        <v>1058</v>
      </c>
      <c r="C1362" s="35" t="s">
        <v>1059</v>
      </c>
      <c r="D1362" s="35">
        <v>2003</v>
      </c>
      <c r="E1362" s="35">
        <v>2002</v>
      </c>
      <c r="F1362" s="35" t="s">
        <v>1060</v>
      </c>
      <c r="G1362" s="35" t="s">
        <v>1061</v>
      </c>
      <c r="H1362" s="35">
        <v>38.74</v>
      </c>
      <c r="I1362" s="35">
        <v>-87.49</v>
      </c>
      <c r="J1362" s="35">
        <v>130</v>
      </c>
      <c r="M1362" s="35">
        <v>1420</v>
      </c>
      <c r="P1362" s="54">
        <v>3</v>
      </c>
      <c r="Q1362" s="54" t="s">
        <v>994</v>
      </c>
      <c r="R1362" s="54" t="s">
        <v>1065</v>
      </c>
      <c r="S1362" s="54" t="s">
        <v>1558</v>
      </c>
      <c r="T1362" s="54" t="s">
        <v>1558</v>
      </c>
      <c r="U1362" s="54" t="s">
        <v>1558</v>
      </c>
      <c r="V1362" s="54" t="s">
        <v>1905</v>
      </c>
      <c r="W1362" s="35">
        <v>1.44</v>
      </c>
      <c r="Z1362" s="35" t="s">
        <v>531</v>
      </c>
      <c r="AD1362" s="35" t="s">
        <v>1487</v>
      </c>
      <c r="AE1362" s="35" t="s">
        <v>1707</v>
      </c>
      <c r="AF1362" s="152" t="s">
        <v>1761</v>
      </c>
      <c r="AG1362" s="35" t="s">
        <v>190</v>
      </c>
      <c r="AH1362" s="154" t="s">
        <v>1791</v>
      </c>
      <c r="AI1362" s="35" t="s">
        <v>1081</v>
      </c>
      <c r="AJ1362" s="35" t="s">
        <v>1081</v>
      </c>
      <c r="AK1362" s="35" t="s">
        <v>212</v>
      </c>
      <c r="AL1362" s="35" t="s">
        <v>269</v>
      </c>
      <c r="AM1362" s="35" t="s">
        <v>269</v>
      </c>
      <c r="AN1362" s="35" t="s">
        <v>212</v>
      </c>
      <c r="AR1362" s="35" t="s">
        <v>192</v>
      </c>
      <c r="AS1362" s="35">
        <v>4</v>
      </c>
      <c r="AT1362" s="35">
        <v>4</v>
      </c>
      <c r="AU1362" s="35" t="s">
        <v>169</v>
      </c>
      <c r="AY1362" s="35" t="s">
        <v>1063</v>
      </c>
      <c r="BG1362" s="35">
        <v>1.42</v>
      </c>
      <c r="BH1362" s="35">
        <v>1.37</v>
      </c>
      <c r="CH1362" s="35">
        <v>2.8</v>
      </c>
      <c r="CI1362" s="35">
        <v>2.98</v>
      </c>
      <c r="CJ1362" s="35" t="s">
        <v>1069</v>
      </c>
      <c r="CN1362" s="35">
        <v>1.36</v>
      </c>
      <c r="CO1362" s="35">
        <v>1.04</v>
      </c>
      <c r="CP1362" s="35" t="s">
        <v>1082</v>
      </c>
      <c r="DF1362" s="35">
        <v>13.1</v>
      </c>
      <c r="DG1362" s="35">
        <v>12.4</v>
      </c>
      <c r="DI1362" s="35">
        <f>32.9/1.42</f>
        <v>23.169014084507044</v>
      </c>
      <c r="DJ1362" s="35">
        <f>33.6/1.42</f>
        <v>23.661971830985916</v>
      </c>
      <c r="DK1362" s="35" t="s">
        <v>1074</v>
      </c>
      <c r="FR1362" s="35" t="s">
        <v>1080</v>
      </c>
      <c r="FT1362" s="35">
        <v>61</v>
      </c>
    </row>
    <row r="1363" spans="1:176" s="35" customFormat="1" x14ac:dyDescent="0.25">
      <c r="A1363" s="35">
        <v>61</v>
      </c>
      <c r="B1363" s="35" t="s">
        <v>1058</v>
      </c>
      <c r="C1363" s="35" t="s">
        <v>1059</v>
      </c>
      <c r="D1363" s="35">
        <v>2003</v>
      </c>
      <c r="E1363" s="35">
        <v>2002</v>
      </c>
      <c r="F1363" s="35" t="s">
        <v>1060</v>
      </c>
      <c r="G1363" s="35" t="s">
        <v>1061</v>
      </c>
      <c r="H1363" s="35">
        <v>38.74</v>
      </c>
      <c r="I1363" s="35">
        <v>-87.49</v>
      </c>
      <c r="J1363" s="35">
        <v>130</v>
      </c>
      <c r="M1363" s="35">
        <v>1420</v>
      </c>
      <c r="P1363" s="54">
        <v>3</v>
      </c>
      <c r="Q1363" s="54" t="s">
        <v>994</v>
      </c>
      <c r="R1363" s="54" t="s">
        <v>1065</v>
      </c>
      <c r="S1363" s="54" t="s">
        <v>1558</v>
      </c>
      <c r="T1363" s="54" t="s">
        <v>1558</v>
      </c>
      <c r="U1363" s="54" t="s">
        <v>1558</v>
      </c>
      <c r="V1363" s="54" t="s">
        <v>1905</v>
      </c>
      <c r="W1363" s="35">
        <v>1.44</v>
      </c>
      <c r="Z1363" s="35" t="s">
        <v>531</v>
      </c>
      <c r="AD1363" s="35" t="s">
        <v>1487</v>
      </c>
      <c r="AE1363" s="35" t="s">
        <v>1707</v>
      </c>
      <c r="AF1363" s="152" t="s">
        <v>1761</v>
      </c>
      <c r="AG1363" s="35" t="s">
        <v>160</v>
      </c>
      <c r="AH1363" s="154" t="s">
        <v>1791</v>
      </c>
      <c r="AI1363" s="35" t="s">
        <v>1081</v>
      </c>
      <c r="AJ1363" s="35" t="s">
        <v>1081</v>
      </c>
      <c r="AK1363" s="35" t="s">
        <v>212</v>
      </c>
      <c r="AL1363" s="35" t="s">
        <v>269</v>
      </c>
      <c r="AM1363" s="35" t="s">
        <v>269</v>
      </c>
      <c r="AN1363" s="35" t="s">
        <v>212</v>
      </c>
      <c r="AR1363" s="35" t="s">
        <v>192</v>
      </c>
      <c r="AS1363" s="35">
        <v>4</v>
      </c>
      <c r="AT1363" s="35">
        <v>4</v>
      </c>
      <c r="AU1363" s="35" t="s">
        <v>169</v>
      </c>
      <c r="AY1363" s="35" t="s">
        <v>1064</v>
      </c>
      <c r="BG1363" s="35">
        <v>1.42</v>
      </c>
      <c r="BH1363" s="35">
        <v>1.35</v>
      </c>
      <c r="CH1363" s="35">
        <v>2.8</v>
      </c>
      <c r="CI1363" s="35">
        <v>3.41</v>
      </c>
      <c r="CJ1363" s="35" t="s">
        <v>1069</v>
      </c>
      <c r="CN1363" s="35">
        <v>1.36</v>
      </c>
      <c r="CO1363" s="35">
        <v>1.31</v>
      </c>
      <c r="CP1363" s="35" t="s">
        <v>1082</v>
      </c>
      <c r="DF1363" s="35">
        <v>13.1</v>
      </c>
      <c r="DG1363" s="35">
        <v>12.2</v>
      </c>
      <c r="DI1363" s="35">
        <f>32.9/1.42</f>
        <v>23.169014084507044</v>
      </c>
      <c r="DJ1363" s="35">
        <f>36.3/1.42</f>
        <v>25.56338028169014</v>
      </c>
      <c r="DK1363" s="35" t="s">
        <v>1074</v>
      </c>
      <c r="FR1363" s="35" t="s">
        <v>1080</v>
      </c>
      <c r="FT1363" s="35">
        <v>61</v>
      </c>
    </row>
    <row r="1364" spans="1:176" s="35" customFormat="1" x14ac:dyDescent="0.25">
      <c r="A1364" s="35">
        <v>61</v>
      </c>
      <c r="B1364" s="35" t="s">
        <v>1058</v>
      </c>
      <c r="C1364" s="35" t="s">
        <v>1059</v>
      </c>
      <c r="D1364" s="35">
        <v>2003</v>
      </c>
      <c r="E1364" s="35">
        <v>2002</v>
      </c>
      <c r="F1364" s="35" t="s">
        <v>1060</v>
      </c>
      <c r="G1364" s="35" t="s">
        <v>1061</v>
      </c>
      <c r="H1364" s="35">
        <v>38.74</v>
      </c>
      <c r="I1364" s="35">
        <v>-87.49</v>
      </c>
      <c r="J1364" s="35">
        <v>130</v>
      </c>
      <c r="M1364" s="35">
        <v>1420</v>
      </c>
      <c r="P1364" s="54">
        <v>3</v>
      </c>
      <c r="Q1364" s="54" t="s">
        <v>994</v>
      </c>
      <c r="R1364" s="54" t="s">
        <v>1065</v>
      </c>
      <c r="S1364" s="54" t="s">
        <v>1558</v>
      </c>
      <c r="T1364" s="54" t="s">
        <v>1558</v>
      </c>
      <c r="U1364" s="54" t="s">
        <v>1558</v>
      </c>
      <c r="V1364" s="54" t="s">
        <v>1905</v>
      </c>
      <c r="W1364" s="35">
        <v>1.44</v>
      </c>
      <c r="Z1364" s="35" t="s">
        <v>531</v>
      </c>
      <c r="AD1364" s="35" t="s">
        <v>1487</v>
      </c>
      <c r="AE1364" s="35" t="s">
        <v>1707</v>
      </c>
      <c r="AF1364" s="152" t="s">
        <v>1761</v>
      </c>
      <c r="AG1364" s="35" t="s">
        <v>190</v>
      </c>
      <c r="AH1364" s="154" t="s">
        <v>1791</v>
      </c>
      <c r="AI1364" s="35" t="s">
        <v>1081</v>
      </c>
      <c r="AJ1364" s="35" t="s">
        <v>1081</v>
      </c>
      <c r="AK1364" s="35" t="s">
        <v>212</v>
      </c>
      <c r="AL1364" s="35" t="s">
        <v>188</v>
      </c>
      <c r="AM1364" s="35" t="s">
        <v>188</v>
      </c>
      <c r="AN1364" s="35" t="s">
        <v>212</v>
      </c>
      <c r="AR1364" s="35" t="s">
        <v>192</v>
      </c>
      <c r="AS1364" s="35">
        <v>4</v>
      </c>
      <c r="AT1364" s="35">
        <v>4</v>
      </c>
      <c r="AU1364" s="35" t="s">
        <v>169</v>
      </c>
      <c r="AY1364" s="35" t="s">
        <v>1063</v>
      </c>
      <c r="BG1364" s="35">
        <v>1.51</v>
      </c>
      <c r="BH1364" s="35">
        <v>1.49</v>
      </c>
      <c r="CH1364" s="35">
        <v>3</v>
      </c>
      <c r="CI1364" s="35">
        <v>2.86</v>
      </c>
      <c r="CJ1364" s="35" t="s">
        <v>1069</v>
      </c>
      <c r="CK1364" s="35">
        <v>39.57</v>
      </c>
      <c r="CL1364" s="35">
        <v>41.08</v>
      </c>
      <c r="CM1364" s="35" t="s">
        <v>1067</v>
      </c>
      <c r="CN1364" s="35">
        <v>2.5099999999999998</v>
      </c>
      <c r="CO1364" s="35">
        <v>2.69</v>
      </c>
      <c r="CP1364" s="35" t="s">
        <v>1082</v>
      </c>
      <c r="DF1364" s="35">
        <v>12.9</v>
      </c>
      <c r="DG1364" s="35">
        <v>12.3</v>
      </c>
      <c r="DI1364" s="35">
        <f>32.2/1.42</f>
        <v>22.676056338028172</v>
      </c>
      <c r="DJ1364" s="35">
        <f>33.3/1.42</f>
        <v>23.450704225352112</v>
      </c>
      <c r="DK1364" s="35" t="s">
        <v>1074</v>
      </c>
      <c r="FR1364" s="35" t="s">
        <v>1080</v>
      </c>
      <c r="FT1364" s="35">
        <v>61</v>
      </c>
    </row>
    <row r="1365" spans="1:176" s="35" customFormat="1" x14ac:dyDescent="0.25">
      <c r="A1365" s="35">
        <v>61</v>
      </c>
      <c r="B1365" s="35" t="s">
        <v>1058</v>
      </c>
      <c r="C1365" s="35" t="s">
        <v>1059</v>
      </c>
      <c r="D1365" s="35">
        <v>2003</v>
      </c>
      <c r="E1365" s="35">
        <v>2002</v>
      </c>
      <c r="F1365" s="35" t="s">
        <v>1060</v>
      </c>
      <c r="G1365" s="35" t="s">
        <v>1061</v>
      </c>
      <c r="H1365" s="35">
        <v>38.74</v>
      </c>
      <c r="I1365" s="35">
        <v>-87.49</v>
      </c>
      <c r="J1365" s="35">
        <v>130</v>
      </c>
      <c r="M1365" s="35">
        <v>1420</v>
      </c>
      <c r="P1365" s="54">
        <v>3</v>
      </c>
      <c r="Q1365" s="54" t="s">
        <v>994</v>
      </c>
      <c r="R1365" s="54" t="s">
        <v>1065</v>
      </c>
      <c r="S1365" s="54" t="s">
        <v>1558</v>
      </c>
      <c r="T1365" s="54" t="s">
        <v>1558</v>
      </c>
      <c r="U1365" s="54" t="s">
        <v>1558</v>
      </c>
      <c r="V1365" s="54" t="s">
        <v>1905</v>
      </c>
      <c r="W1365" s="35">
        <v>1.44</v>
      </c>
      <c r="Z1365" s="35" t="s">
        <v>531</v>
      </c>
      <c r="AD1365" s="35" t="s">
        <v>1487</v>
      </c>
      <c r="AE1365" s="35" t="s">
        <v>1707</v>
      </c>
      <c r="AF1365" s="152" t="s">
        <v>1761</v>
      </c>
      <c r="AG1365" s="35" t="s">
        <v>160</v>
      </c>
      <c r="AH1365" s="154" t="s">
        <v>1791</v>
      </c>
      <c r="AI1365" s="35" t="s">
        <v>1081</v>
      </c>
      <c r="AJ1365" s="35" t="s">
        <v>1081</v>
      </c>
      <c r="AK1365" s="35" t="s">
        <v>212</v>
      </c>
      <c r="AL1365" s="35" t="s">
        <v>188</v>
      </c>
      <c r="AM1365" s="35" t="s">
        <v>188</v>
      </c>
      <c r="AN1365" s="35" t="s">
        <v>212</v>
      </c>
      <c r="AR1365" s="35" t="s">
        <v>192</v>
      </c>
      <c r="AS1365" s="35">
        <v>4</v>
      </c>
      <c r="AT1365" s="35">
        <v>4</v>
      </c>
      <c r="AU1365" s="35" t="s">
        <v>169</v>
      </c>
      <c r="AY1365" s="35" t="s">
        <v>1064</v>
      </c>
      <c r="BG1365" s="35">
        <v>1.51</v>
      </c>
      <c r="BH1365" s="35">
        <v>1.46</v>
      </c>
      <c r="CH1365" s="35">
        <v>3</v>
      </c>
      <c r="CI1365" s="35">
        <v>3.22</v>
      </c>
      <c r="CJ1365" s="35" t="s">
        <v>1069</v>
      </c>
      <c r="CK1365" s="35">
        <v>39.57</v>
      </c>
      <c r="CL1365" s="35">
        <v>39.049999999999997</v>
      </c>
      <c r="CM1365" s="35" t="s">
        <v>1067</v>
      </c>
      <c r="CN1365" s="35">
        <v>2.5099999999999998</v>
      </c>
      <c r="CO1365" s="35">
        <v>2.4</v>
      </c>
      <c r="CP1365" s="35" t="s">
        <v>1082</v>
      </c>
      <c r="DF1365" s="35">
        <v>12.9</v>
      </c>
      <c r="DG1365" s="35">
        <v>12.3</v>
      </c>
      <c r="DI1365" s="35">
        <f>32.2/1.42</f>
        <v>22.676056338028172</v>
      </c>
      <c r="DJ1365" s="35">
        <f>34.8/1.42</f>
        <v>24.507042253521124</v>
      </c>
      <c r="DK1365" s="35" t="s">
        <v>1074</v>
      </c>
      <c r="FR1365" s="35" t="s">
        <v>1080</v>
      </c>
      <c r="FT1365" s="35">
        <v>61</v>
      </c>
    </row>
    <row r="1366" spans="1:176" s="35" customFormat="1" x14ac:dyDescent="0.25">
      <c r="A1366" s="35">
        <v>61</v>
      </c>
      <c r="B1366" s="35" t="s">
        <v>1058</v>
      </c>
      <c r="C1366" s="35" t="s">
        <v>1059</v>
      </c>
      <c r="D1366" s="35">
        <v>2003</v>
      </c>
      <c r="E1366" s="35">
        <v>2002</v>
      </c>
      <c r="F1366" s="35" t="s">
        <v>1060</v>
      </c>
      <c r="G1366" s="35" t="s">
        <v>1061</v>
      </c>
      <c r="H1366" s="35">
        <v>38.74</v>
      </c>
      <c r="I1366" s="35">
        <v>-87.49</v>
      </c>
      <c r="J1366" s="35">
        <v>130</v>
      </c>
      <c r="M1366" s="35">
        <v>1420</v>
      </c>
      <c r="P1366" s="54">
        <v>3</v>
      </c>
      <c r="Q1366" s="54" t="s">
        <v>994</v>
      </c>
      <c r="R1366" s="54" t="s">
        <v>1066</v>
      </c>
      <c r="S1366" s="54" t="s">
        <v>1558</v>
      </c>
      <c r="T1366" s="54" t="s">
        <v>1558</v>
      </c>
      <c r="U1366" s="54" t="s">
        <v>1558</v>
      </c>
      <c r="V1366" s="54" t="s">
        <v>1905</v>
      </c>
      <c r="W1366" s="35">
        <v>1.44</v>
      </c>
      <c r="Z1366" s="35" t="s">
        <v>531</v>
      </c>
      <c r="AD1366" s="35" t="s">
        <v>1487</v>
      </c>
      <c r="AE1366" s="35" t="s">
        <v>1707</v>
      </c>
      <c r="AF1366" s="152" t="s">
        <v>1761</v>
      </c>
      <c r="AG1366" s="35" t="s">
        <v>190</v>
      </c>
      <c r="AH1366" s="154" t="s">
        <v>1791</v>
      </c>
      <c r="AI1366" s="35" t="s">
        <v>1081</v>
      </c>
      <c r="AJ1366" s="35" t="s">
        <v>1081</v>
      </c>
      <c r="AK1366" s="35" t="s">
        <v>212</v>
      </c>
      <c r="AL1366" s="35" t="s">
        <v>269</v>
      </c>
      <c r="AM1366" s="35" t="s">
        <v>269</v>
      </c>
      <c r="AN1366" s="35" t="s">
        <v>212</v>
      </c>
      <c r="AR1366" s="35" t="s">
        <v>192</v>
      </c>
      <c r="AS1366" s="35">
        <v>4</v>
      </c>
      <c r="AT1366" s="35">
        <v>4</v>
      </c>
      <c r="AU1366" s="35" t="s">
        <v>169</v>
      </c>
      <c r="AW1366" s="35">
        <v>927</v>
      </c>
      <c r="AY1366" s="35" t="s">
        <v>1063</v>
      </c>
      <c r="CH1366" s="35">
        <v>3.37</v>
      </c>
      <c r="CI1366" s="35">
        <v>3.21</v>
      </c>
      <c r="CJ1366" s="35" t="s">
        <v>1069</v>
      </c>
      <c r="CN1366" s="35">
        <v>2.1</v>
      </c>
      <c r="CO1366" s="35">
        <v>1.95</v>
      </c>
      <c r="CP1366" s="35" t="s">
        <v>1082</v>
      </c>
      <c r="DF1366" s="35">
        <v>18.100000000000001</v>
      </c>
      <c r="DG1366" s="35">
        <v>17.2</v>
      </c>
      <c r="DI1366" s="35">
        <f>32.7/1.42</f>
        <v>23.028169014084511</v>
      </c>
      <c r="DJ1366" s="35">
        <f>34.2/1.42</f>
        <v>24.084507042253524</v>
      </c>
      <c r="DK1366" s="35" t="s">
        <v>1077</v>
      </c>
      <c r="FR1366" s="35" t="s">
        <v>1080</v>
      </c>
      <c r="FT1366" s="35">
        <v>61</v>
      </c>
    </row>
    <row r="1367" spans="1:176" s="35" customFormat="1" x14ac:dyDescent="0.25">
      <c r="A1367" s="35">
        <v>61</v>
      </c>
      <c r="B1367" s="35" t="s">
        <v>1058</v>
      </c>
      <c r="C1367" s="35" t="s">
        <v>1059</v>
      </c>
      <c r="D1367" s="35">
        <v>2003</v>
      </c>
      <c r="E1367" s="35">
        <v>2002</v>
      </c>
      <c r="F1367" s="35" t="s">
        <v>1060</v>
      </c>
      <c r="G1367" s="35" t="s">
        <v>1061</v>
      </c>
      <c r="H1367" s="35">
        <v>38.74</v>
      </c>
      <c r="I1367" s="35">
        <v>-87.49</v>
      </c>
      <c r="J1367" s="35">
        <v>130</v>
      </c>
      <c r="M1367" s="35">
        <v>1420</v>
      </c>
      <c r="P1367" s="54">
        <v>3</v>
      </c>
      <c r="Q1367" s="54" t="s">
        <v>994</v>
      </c>
      <c r="R1367" s="54" t="s">
        <v>1066</v>
      </c>
      <c r="S1367" s="54" t="s">
        <v>1558</v>
      </c>
      <c r="T1367" s="54" t="s">
        <v>1558</v>
      </c>
      <c r="U1367" s="54" t="s">
        <v>1558</v>
      </c>
      <c r="V1367" s="54" t="s">
        <v>1905</v>
      </c>
      <c r="W1367" s="35">
        <v>1.44</v>
      </c>
      <c r="Z1367" s="35" t="s">
        <v>531</v>
      </c>
      <c r="AD1367" s="35" t="s">
        <v>1487</v>
      </c>
      <c r="AE1367" s="35" t="s">
        <v>1707</v>
      </c>
      <c r="AF1367" s="152" t="s">
        <v>1761</v>
      </c>
      <c r="AG1367" s="35" t="s">
        <v>160</v>
      </c>
      <c r="AH1367" s="154" t="s">
        <v>1791</v>
      </c>
      <c r="AI1367" s="35" t="s">
        <v>1081</v>
      </c>
      <c r="AJ1367" s="35" t="s">
        <v>1081</v>
      </c>
      <c r="AK1367" s="35" t="s">
        <v>212</v>
      </c>
      <c r="AL1367" s="35" t="s">
        <v>269</v>
      </c>
      <c r="AM1367" s="35" t="s">
        <v>269</v>
      </c>
      <c r="AN1367" s="35" t="s">
        <v>212</v>
      </c>
      <c r="AR1367" s="35" t="s">
        <v>192</v>
      </c>
      <c r="AS1367" s="35">
        <v>4</v>
      </c>
      <c r="AT1367" s="35">
        <v>4</v>
      </c>
      <c r="AU1367" s="35" t="s">
        <v>169</v>
      </c>
      <c r="AW1367" s="35">
        <v>1515</v>
      </c>
      <c r="AY1367" s="35" t="s">
        <v>1064</v>
      </c>
      <c r="CH1367" s="35">
        <v>3.37</v>
      </c>
      <c r="CI1367" s="35">
        <v>3.61</v>
      </c>
      <c r="CJ1367" s="35" t="s">
        <v>1069</v>
      </c>
      <c r="CN1367" s="35">
        <v>2.1</v>
      </c>
      <c r="CO1367" s="35">
        <v>2.27</v>
      </c>
      <c r="CP1367" s="35" t="s">
        <v>1082</v>
      </c>
      <c r="DF1367" s="35">
        <v>18.100000000000001</v>
      </c>
      <c r="DG1367" s="35">
        <v>16</v>
      </c>
      <c r="DI1367" s="35">
        <f>32.7/1.42</f>
        <v>23.028169014084511</v>
      </c>
      <c r="DJ1367" s="35">
        <f>36.6/1.42</f>
        <v>25.774647887323948</v>
      </c>
      <c r="DK1367" s="35" t="s">
        <v>1077</v>
      </c>
      <c r="FR1367" s="35" t="s">
        <v>1080</v>
      </c>
      <c r="FT1367" s="35">
        <v>61</v>
      </c>
    </row>
    <row r="1368" spans="1:176" s="35" customFormat="1" x14ac:dyDescent="0.25">
      <c r="A1368" s="35">
        <v>61</v>
      </c>
      <c r="B1368" s="35" t="s">
        <v>1058</v>
      </c>
      <c r="C1368" s="35" t="s">
        <v>1059</v>
      </c>
      <c r="D1368" s="35">
        <v>2003</v>
      </c>
      <c r="E1368" s="35">
        <v>2002</v>
      </c>
      <c r="F1368" s="35" t="s">
        <v>1060</v>
      </c>
      <c r="G1368" s="35" t="s">
        <v>1061</v>
      </c>
      <c r="H1368" s="35">
        <v>38.74</v>
      </c>
      <c r="I1368" s="35">
        <v>-87.49</v>
      </c>
      <c r="J1368" s="35">
        <v>130</v>
      </c>
      <c r="M1368" s="35">
        <v>1420</v>
      </c>
      <c r="P1368" s="54">
        <v>3</v>
      </c>
      <c r="Q1368" s="54" t="s">
        <v>994</v>
      </c>
      <c r="R1368" s="54" t="s">
        <v>1066</v>
      </c>
      <c r="S1368" s="54" t="s">
        <v>1558</v>
      </c>
      <c r="T1368" s="54" t="s">
        <v>1558</v>
      </c>
      <c r="U1368" s="54" t="s">
        <v>1558</v>
      </c>
      <c r="V1368" s="54" t="s">
        <v>1905</v>
      </c>
      <c r="W1368" s="35">
        <v>1.44</v>
      </c>
      <c r="Z1368" s="35" t="s">
        <v>531</v>
      </c>
      <c r="AD1368" s="35" t="s">
        <v>1487</v>
      </c>
      <c r="AE1368" s="35" t="s">
        <v>1707</v>
      </c>
      <c r="AF1368" s="152" t="s">
        <v>1761</v>
      </c>
      <c r="AG1368" s="35" t="s">
        <v>190</v>
      </c>
      <c r="AH1368" s="154" t="s">
        <v>1791</v>
      </c>
      <c r="AI1368" s="35" t="s">
        <v>1081</v>
      </c>
      <c r="AJ1368" s="35" t="s">
        <v>1081</v>
      </c>
      <c r="AK1368" s="35" t="s">
        <v>212</v>
      </c>
      <c r="AL1368" s="35" t="s">
        <v>188</v>
      </c>
      <c r="AM1368" s="35" t="s">
        <v>188</v>
      </c>
      <c r="AN1368" s="35" t="s">
        <v>212</v>
      </c>
      <c r="AR1368" s="35" t="s">
        <v>192</v>
      </c>
      <c r="AS1368" s="35">
        <v>4</v>
      </c>
      <c r="AT1368" s="35">
        <v>4</v>
      </c>
      <c r="AU1368" s="35" t="s">
        <v>169</v>
      </c>
      <c r="AW1368" s="35">
        <v>1233</v>
      </c>
      <c r="AY1368" s="35" t="s">
        <v>1063</v>
      </c>
      <c r="BG1368" s="35">
        <v>1.6</v>
      </c>
      <c r="BH1368" s="35">
        <v>1.56</v>
      </c>
      <c r="CH1368" s="35">
        <v>3.17</v>
      </c>
      <c r="CI1368" s="35">
        <v>3.15</v>
      </c>
      <c r="CJ1368" s="35" t="s">
        <v>1069</v>
      </c>
      <c r="CK1368" s="35">
        <v>7.22</v>
      </c>
      <c r="CL1368" s="35">
        <v>8.42</v>
      </c>
      <c r="CM1368" s="35" t="s">
        <v>1067</v>
      </c>
      <c r="CN1368" s="35">
        <v>2.66</v>
      </c>
      <c r="CO1368" s="35">
        <v>2.76</v>
      </c>
      <c r="CP1368" s="35" t="s">
        <v>1082</v>
      </c>
      <c r="DF1368" s="35">
        <v>18.100000000000001</v>
      </c>
      <c r="DG1368" s="35">
        <v>17</v>
      </c>
      <c r="DI1368" s="35">
        <f>30.3/1.42</f>
        <v>21.338028169014088</v>
      </c>
      <c r="DJ1368" s="35">
        <f>32.1/1.42</f>
        <v>22.605633802816904</v>
      </c>
      <c r="DK1368" s="35" t="s">
        <v>1077</v>
      </c>
      <c r="FR1368" s="35" t="s">
        <v>1080</v>
      </c>
      <c r="FT1368" s="35">
        <v>61</v>
      </c>
    </row>
    <row r="1369" spans="1:176" s="35" customFormat="1" x14ac:dyDescent="0.25">
      <c r="A1369" s="35">
        <v>61</v>
      </c>
      <c r="B1369" s="35" t="s">
        <v>1058</v>
      </c>
      <c r="C1369" s="35" t="s">
        <v>1059</v>
      </c>
      <c r="D1369" s="35">
        <v>2003</v>
      </c>
      <c r="E1369" s="35">
        <v>2002</v>
      </c>
      <c r="F1369" s="35" t="s">
        <v>1060</v>
      </c>
      <c r="G1369" s="35" t="s">
        <v>1061</v>
      </c>
      <c r="H1369" s="35">
        <v>38.74</v>
      </c>
      <c r="I1369" s="35">
        <v>-87.49</v>
      </c>
      <c r="J1369" s="35">
        <v>130</v>
      </c>
      <c r="M1369" s="35">
        <v>1420</v>
      </c>
      <c r="P1369" s="54">
        <v>3</v>
      </c>
      <c r="Q1369" s="54" t="s">
        <v>994</v>
      </c>
      <c r="R1369" s="54" t="s">
        <v>1066</v>
      </c>
      <c r="S1369" s="54" t="s">
        <v>1558</v>
      </c>
      <c r="T1369" s="54" t="s">
        <v>1558</v>
      </c>
      <c r="U1369" s="54" t="s">
        <v>1558</v>
      </c>
      <c r="V1369" s="54" t="s">
        <v>1905</v>
      </c>
      <c r="W1369" s="35">
        <v>1.44</v>
      </c>
      <c r="Z1369" s="35" t="s">
        <v>531</v>
      </c>
      <c r="AD1369" s="35" t="s">
        <v>1487</v>
      </c>
      <c r="AE1369" s="35" t="s">
        <v>1707</v>
      </c>
      <c r="AF1369" s="152" t="s">
        <v>1761</v>
      </c>
      <c r="AG1369" s="35" t="s">
        <v>160</v>
      </c>
      <c r="AH1369" s="154" t="s">
        <v>1791</v>
      </c>
      <c r="AI1369" s="35" t="s">
        <v>1081</v>
      </c>
      <c r="AJ1369" s="35" t="s">
        <v>1081</v>
      </c>
      <c r="AK1369" s="35" t="s">
        <v>212</v>
      </c>
      <c r="AL1369" s="35" t="s">
        <v>188</v>
      </c>
      <c r="AM1369" s="35" t="s">
        <v>188</v>
      </c>
      <c r="AN1369" s="35" t="s">
        <v>212</v>
      </c>
      <c r="AR1369" s="35" t="s">
        <v>192</v>
      </c>
      <c r="AS1369" s="35">
        <v>4</v>
      </c>
      <c r="AT1369" s="35">
        <v>4</v>
      </c>
      <c r="AU1369" s="35" t="s">
        <v>169</v>
      </c>
      <c r="AW1369" s="35">
        <v>1381</v>
      </c>
      <c r="AY1369" s="35" t="s">
        <v>1064</v>
      </c>
      <c r="BG1369" s="35">
        <v>1.6</v>
      </c>
      <c r="BH1369" s="35">
        <v>1.6</v>
      </c>
      <c r="CH1369" s="35">
        <v>3.17</v>
      </c>
      <c r="CI1369" s="35">
        <v>3.29</v>
      </c>
      <c r="CJ1369" s="35" t="s">
        <v>1069</v>
      </c>
      <c r="CK1369" s="35">
        <v>7.22</v>
      </c>
      <c r="CL1369" s="35">
        <v>6.85</v>
      </c>
      <c r="CM1369" s="35" t="s">
        <v>1067</v>
      </c>
      <c r="CN1369" s="35">
        <v>2.66</v>
      </c>
      <c r="CO1369" s="35">
        <v>2.5499999999999998</v>
      </c>
      <c r="CP1369" s="35" t="s">
        <v>1082</v>
      </c>
      <c r="DF1369" s="35">
        <v>18.100000000000001</v>
      </c>
      <c r="DG1369" s="35">
        <v>16.2</v>
      </c>
      <c r="DI1369" s="35">
        <f>30.3/1.42</f>
        <v>21.338028169014088</v>
      </c>
      <c r="DJ1369" s="35">
        <f>34.5/1.42</f>
        <v>24.295774647887324</v>
      </c>
      <c r="DK1369" s="35" t="s">
        <v>1077</v>
      </c>
      <c r="FR1369" s="35" t="s">
        <v>1080</v>
      </c>
      <c r="FT1369" s="35">
        <v>61</v>
      </c>
    </row>
    <row r="1370" spans="1:176" s="93" customFormat="1" x14ac:dyDescent="0.25">
      <c r="A1370" s="93">
        <v>61</v>
      </c>
      <c r="B1370" s="93" t="s">
        <v>1058</v>
      </c>
      <c r="C1370" s="93" t="s">
        <v>1059</v>
      </c>
      <c r="D1370" s="93">
        <v>2003</v>
      </c>
      <c r="E1370" s="93">
        <v>2002</v>
      </c>
      <c r="F1370" s="93" t="s">
        <v>1060</v>
      </c>
      <c r="G1370" s="93" t="s">
        <v>1062</v>
      </c>
      <c r="H1370" s="93">
        <v>40.299999999999997</v>
      </c>
      <c r="I1370" s="93">
        <v>-86.9</v>
      </c>
      <c r="J1370" s="93">
        <v>221</v>
      </c>
      <c r="M1370" s="35">
        <v>1118</v>
      </c>
      <c r="P1370" s="94">
        <v>3</v>
      </c>
      <c r="Q1370" s="94" t="s">
        <v>994</v>
      </c>
      <c r="R1370" s="94" t="s">
        <v>1065</v>
      </c>
      <c r="S1370" s="94" t="s">
        <v>1558</v>
      </c>
      <c r="T1370" s="94" t="s">
        <v>1558</v>
      </c>
      <c r="U1370" s="94" t="s">
        <v>1558</v>
      </c>
      <c r="V1370" s="54" t="s">
        <v>1905</v>
      </c>
      <c r="W1370" s="93">
        <v>1.42</v>
      </c>
      <c r="Z1370" s="93" t="s">
        <v>531</v>
      </c>
      <c r="AD1370" s="93" t="s">
        <v>1487</v>
      </c>
      <c r="AE1370" s="93" t="s">
        <v>1707</v>
      </c>
      <c r="AF1370" s="152" t="s">
        <v>1761</v>
      </c>
      <c r="AG1370" s="93" t="s">
        <v>190</v>
      </c>
      <c r="AH1370" s="154" t="s">
        <v>1791</v>
      </c>
      <c r="AI1370" s="93" t="s">
        <v>1081</v>
      </c>
      <c r="AJ1370" s="93" t="s">
        <v>1081</v>
      </c>
      <c r="AK1370" s="93" t="s">
        <v>212</v>
      </c>
      <c r="AL1370" s="93" t="s">
        <v>269</v>
      </c>
      <c r="AM1370" s="93" t="s">
        <v>269</v>
      </c>
      <c r="AN1370" s="93" t="s">
        <v>212</v>
      </c>
      <c r="AR1370" s="93" t="s">
        <v>192</v>
      </c>
      <c r="AS1370" s="93">
        <v>4</v>
      </c>
      <c r="AT1370" s="93">
        <v>4</v>
      </c>
      <c r="AU1370" s="93" t="s">
        <v>169</v>
      </c>
      <c r="AY1370" s="93" t="s">
        <v>1063</v>
      </c>
      <c r="BG1370" s="93">
        <v>1.38</v>
      </c>
      <c r="BH1370" s="93">
        <v>1.35</v>
      </c>
      <c r="CH1370" s="93">
        <v>1.9</v>
      </c>
      <c r="CI1370" s="93">
        <v>2.12</v>
      </c>
      <c r="CJ1370" s="93" t="s">
        <v>1069</v>
      </c>
      <c r="CK1370" s="93">
        <v>43.26</v>
      </c>
      <c r="CL1370" s="93">
        <v>43.03</v>
      </c>
      <c r="CM1370" s="93" t="s">
        <v>1067</v>
      </c>
      <c r="CN1370" s="93">
        <v>1.52</v>
      </c>
      <c r="CO1370" s="93">
        <v>1.52</v>
      </c>
      <c r="CP1370" s="93" t="s">
        <v>1082</v>
      </c>
      <c r="DF1370" s="93">
        <v>17.5</v>
      </c>
      <c r="DG1370" s="93">
        <v>17.600000000000001</v>
      </c>
      <c r="DI1370" s="93">
        <f>35.4/1.42</f>
        <v>24.929577464788732</v>
      </c>
      <c r="DJ1370" s="93">
        <f>33/1.42</f>
        <v>23.239436619718312</v>
      </c>
      <c r="DK1370" s="93" t="s">
        <v>1078</v>
      </c>
      <c r="FR1370" s="93" t="s">
        <v>1080</v>
      </c>
      <c r="FT1370" s="93">
        <v>61</v>
      </c>
    </row>
    <row r="1371" spans="1:176" s="93" customFormat="1" x14ac:dyDescent="0.25">
      <c r="A1371" s="93">
        <v>61</v>
      </c>
      <c r="B1371" s="93" t="s">
        <v>1058</v>
      </c>
      <c r="C1371" s="93" t="s">
        <v>1059</v>
      </c>
      <c r="D1371" s="93">
        <v>2003</v>
      </c>
      <c r="E1371" s="93">
        <v>2002</v>
      </c>
      <c r="F1371" s="93" t="s">
        <v>1060</v>
      </c>
      <c r="G1371" s="93" t="s">
        <v>1062</v>
      </c>
      <c r="H1371" s="93">
        <v>40.299999999999997</v>
      </c>
      <c r="I1371" s="93">
        <v>-86.9</v>
      </c>
      <c r="J1371" s="93">
        <v>221</v>
      </c>
      <c r="M1371" s="35">
        <v>1118</v>
      </c>
      <c r="P1371" s="94">
        <v>3</v>
      </c>
      <c r="Q1371" s="94" t="s">
        <v>994</v>
      </c>
      <c r="R1371" s="94" t="s">
        <v>1065</v>
      </c>
      <c r="S1371" s="94" t="s">
        <v>1558</v>
      </c>
      <c r="T1371" s="94" t="s">
        <v>1558</v>
      </c>
      <c r="U1371" s="94" t="s">
        <v>1558</v>
      </c>
      <c r="V1371" s="54" t="s">
        <v>1905</v>
      </c>
      <c r="W1371" s="93">
        <v>1.42</v>
      </c>
      <c r="Z1371" s="93" t="s">
        <v>531</v>
      </c>
      <c r="AD1371" s="93" t="s">
        <v>1487</v>
      </c>
      <c r="AE1371" s="93" t="s">
        <v>1707</v>
      </c>
      <c r="AF1371" s="152" t="s">
        <v>1761</v>
      </c>
      <c r="AG1371" s="93" t="s">
        <v>160</v>
      </c>
      <c r="AH1371" s="154" t="s">
        <v>1791</v>
      </c>
      <c r="AI1371" s="93" t="s">
        <v>1081</v>
      </c>
      <c r="AJ1371" s="93" t="s">
        <v>1081</v>
      </c>
      <c r="AK1371" s="93" t="s">
        <v>212</v>
      </c>
      <c r="AL1371" s="93" t="s">
        <v>269</v>
      </c>
      <c r="AM1371" s="93" t="s">
        <v>269</v>
      </c>
      <c r="AN1371" s="93" t="s">
        <v>212</v>
      </c>
      <c r="AR1371" s="93" t="s">
        <v>192</v>
      </c>
      <c r="AS1371" s="93">
        <v>4</v>
      </c>
      <c r="AT1371" s="93">
        <v>4</v>
      </c>
      <c r="AU1371" s="93" t="s">
        <v>169</v>
      </c>
      <c r="AY1371" s="93" t="s">
        <v>1064</v>
      </c>
      <c r="BG1371" s="93">
        <v>1.38</v>
      </c>
      <c r="BH1371" s="93">
        <v>1.39</v>
      </c>
      <c r="CH1371" s="93">
        <v>1.9</v>
      </c>
      <c r="CI1371" s="93">
        <v>2.39</v>
      </c>
      <c r="CJ1371" s="93" t="s">
        <v>1069</v>
      </c>
      <c r="CK1371" s="93">
        <v>43.26</v>
      </c>
      <c r="CL1371" s="93">
        <v>46.55</v>
      </c>
      <c r="CM1371" s="93" t="s">
        <v>1067</v>
      </c>
      <c r="CN1371" s="93">
        <v>1.52</v>
      </c>
      <c r="CO1371" s="93">
        <v>1.29</v>
      </c>
      <c r="CP1371" s="93" t="s">
        <v>1082</v>
      </c>
      <c r="DF1371" s="93">
        <v>17.5</v>
      </c>
      <c r="DG1371" s="93">
        <v>17.100000000000001</v>
      </c>
      <c r="DI1371" s="93">
        <f>35.4/1.42</f>
        <v>24.929577464788732</v>
      </c>
      <c r="DJ1371" s="93">
        <f>36.9/1.42</f>
        <v>25.985915492957748</v>
      </c>
      <c r="DK1371" s="93" t="s">
        <v>1078</v>
      </c>
      <c r="FR1371" s="93" t="s">
        <v>1080</v>
      </c>
      <c r="FT1371" s="93">
        <v>61</v>
      </c>
    </row>
    <row r="1372" spans="1:176" s="93" customFormat="1" x14ac:dyDescent="0.25">
      <c r="A1372" s="93">
        <v>61</v>
      </c>
      <c r="B1372" s="93" t="s">
        <v>1058</v>
      </c>
      <c r="C1372" s="93" t="s">
        <v>1059</v>
      </c>
      <c r="D1372" s="93">
        <v>2003</v>
      </c>
      <c r="E1372" s="93">
        <v>2002</v>
      </c>
      <c r="F1372" s="93" t="s">
        <v>1060</v>
      </c>
      <c r="G1372" s="93" t="s">
        <v>1062</v>
      </c>
      <c r="H1372" s="93">
        <v>40.299999999999997</v>
      </c>
      <c r="I1372" s="93">
        <v>-86.9</v>
      </c>
      <c r="J1372" s="93">
        <v>221</v>
      </c>
      <c r="M1372" s="35">
        <v>1118</v>
      </c>
      <c r="P1372" s="94">
        <v>3</v>
      </c>
      <c r="Q1372" s="94" t="s">
        <v>994</v>
      </c>
      <c r="R1372" s="94" t="s">
        <v>1065</v>
      </c>
      <c r="S1372" s="94" t="s">
        <v>1558</v>
      </c>
      <c r="T1372" s="94" t="s">
        <v>1558</v>
      </c>
      <c r="U1372" s="94" t="s">
        <v>1558</v>
      </c>
      <c r="V1372" s="54" t="s">
        <v>1905</v>
      </c>
      <c r="W1372" s="93">
        <v>1.42</v>
      </c>
      <c r="Z1372" s="93" t="s">
        <v>531</v>
      </c>
      <c r="AD1372" s="93" t="s">
        <v>1487</v>
      </c>
      <c r="AE1372" s="93" t="s">
        <v>1707</v>
      </c>
      <c r="AF1372" s="152" t="s">
        <v>1761</v>
      </c>
      <c r="AG1372" s="93" t="s">
        <v>190</v>
      </c>
      <c r="AH1372" s="154" t="s">
        <v>1791</v>
      </c>
      <c r="AI1372" s="93" t="s">
        <v>1081</v>
      </c>
      <c r="AJ1372" s="93" t="s">
        <v>1081</v>
      </c>
      <c r="AK1372" s="93" t="s">
        <v>212</v>
      </c>
      <c r="AL1372" s="93" t="s">
        <v>188</v>
      </c>
      <c r="AM1372" s="93" t="s">
        <v>188</v>
      </c>
      <c r="AN1372" s="93" t="s">
        <v>212</v>
      </c>
      <c r="AR1372" s="93" t="s">
        <v>192</v>
      </c>
      <c r="AS1372" s="93">
        <v>4</v>
      </c>
      <c r="AT1372" s="93">
        <v>4</v>
      </c>
      <c r="AU1372" s="93" t="s">
        <v>169</v>
      </c>
      <c r="AY1372" s="93" t="s">
        <v>1063</v>
      </c>
      <c r="BG1372" s="93">
        <v>1.52</v>
      </c>
      <c r="BH1372" s="93">
        <v>1.49</v>
      </c>
      <c r="CH1372" s="93">
        <v>1.63</v>
      </c>
      <c r="CI1372" s="93">
        <v>1.72</v>
      </c>
      <c r="CJ1372" s="93" t="s">
        <v>1069</v>
      </c>
      <c r="CK1372" s="93">
        <v>38.43</v>
      </c>
      <c r="CL1372" s="93">
        <v>39.76</v>
      </c>
      <c r="CM1372" s="93" t="s">
        <v>1067</v>
      </c>
      <c r="CN1372" s="93">
        <v>3.12</v>
      </c>
      <c r="CO1372" s="93">
        <v>2.86</v>
      </c>
      <c r="CP1372" s="93" t="s">
        <v>1082</v>
      </c>
      <c r="DF1372" s="93">
        <v>17.600000000000001</v>
      </c>
      <c r="DG1372" s="93">
        <v>16.600000000000001</v>
      </c>
      <c r="DI1372" s="93">
        <f>34.3/1.42</f>
        <v>24.154929577464788</v>
      </c>
      <c r="DJ1372" s="93">
        <f>34.4/1.42</f>
        <v>24.225352112676056</v>
      </c>
      <c r="DK1372" s="93" t="s">
        <v>1078</v>
      </c>
      <c r="FR1372" s="93" t="s">
        <v>1080</v>
      </c>
      <c r="FT1372" s="93">
        <v>61</v>
      </c>
    </row>
    <row r="1373" spans="1:176" s="93" customFormat="1" x14ac:dyDescent="0.25">
      <c r="A1373" s="93">
        <v>61</v>
      </c>
      <c r="B1373" s="93" t="s">
        <v>1058</v>
      </c>
      <c r="C1373" s="93" t="s">
        <v>1059</v>
      </c>
      <c r="D1373" s="93">
        <v>2003</v>
      </c>
      <c r="E1373" s="93">
        <v>2002</v>
      </c>
      <c r="F1373" s="93" t="s">
        <v>1060</v>
      </c>
      <c r="G1373" s="93" t="s">
        <v>1062</v>
      </c>
      <c r="H1373" s="93">
        <v>40.299999999999997</v>
      </c>
      <c r="I1373" s="93">
        <v>-86.9</v>
      </c>
      <c r="J1373" s="93">
        <v>221</v>
      </c>
      <c r="M1373" s="35">
        <v>1118</v>
      </c>
      <c r="P1373" s="94">
        <v>3</v>
      </c>
      <c r="Q1373" s="94" t="s">
        <v>994</v>
      </c>
      <c r="R1373" s="94" t="s">
        <v>1065</v>
      </c>
      <c r="S1373" s="94" t="s">
        <v>1558</v>
      </c>
      <c r="T1373" s="94" t="s">
        <v>1558</v>
      </c>
      <c r="U1373" s="94" t="s">
        <v>1558</v>
      </c>
      <c r="V1373" s="54" t="s">
        <v>1905</v>
      </c>
      <c r="W1373" s="93">
        <v>1.42</v>
      </c>
      <c r="Z1373" s="93" t="s">
        <v>531</v>
      </c>
      <c r="AD1373" s="93" t="s">
        <v>1487</v>
      </c>
      <c r="AE1373" s="93" t="s">
        <v>1707</v>
      </c>
      <c r="AF1373" s="152" t="s">
        <v>1761</v>
      </c>
      <c r="AG1373" s="93" t="s">
        <v>160</v>
      </c>
      <c r="AH1373" s="154" t="s">
        <v>1791</v>
      </c>
      <c r="AI1373" s="93" t="s">
        <v>1081</v>
      </c>
      <c r="AJ1373" s="93" t="s">
        <v>1081</v>
      </c>
      <c r="AK1373" s="93" t="s">
        <v>212</v>
      </c>
      <c r="AL1373" s="93" t="s">
        <v>188</v>
      </c>
      <c r="AM1373" s="93" t="s">
        <v>188</v>
      </c>
      <c r="AN1373" s="93" t="s">
        <v>212</v>
      </c>
      <c r="AR1373" s="93" t="s">
        <v>192</v>
      </c>
      <c r="AS1373" s="93">
        <v>4</v>
      </c>
      <c r="AT1373" s="93">
        <v>4</v>
      </c>
      <c r="AU1373" s="93" t="s">
        <v>169</v>
      </c>
      <c r="AY1373" s="93" t="s">
        <v>1064</v>
      </c>
      <c r="BG1373" s="93">
        <v>1.52</v>
      </c>
      <c r="BH1373" s="93">
        <v>1.56</v>
      </c>
      <c r="CH1373" s="93">
        <v>1.63</v>
      </c>
      <c r="CI1373" s="93">
        <v>2.61</v>
      </c>
      <c r="CJ1373" s="93" t="s">
        <v>1069</v>
      </c>
      <c r="CK1373" s="93">
        <v>38.43</v>
      </c>
      <c r="CL1373" s="93">
        <v>39.090000000000003</v>
      </c>
      <c r="CM1373" s="93" t="s">
        <v>1067</v>
      </c>
      <c r="CN1373" s="93">
        <v>3.12</v>
      </c>
      <c r="CO1373" s="93">
        <v>2.36</v>
      </c>
      <c r="CP1373" s="93" t="s">
        <v>1082</v>
      </c>
      <c r="DF1373" s="93">
        <v>17.600000000000001</v>
      </c>
      <c r="DG1373" s="93">
        <v>15.7</v>
      </c>
      <c r="DI1373" s="93">
        <f>34.3/1.42</f>
        <v>24.154929577464788</v>
      </c>
      <c r="DJ1373" s="93">
        <f>35.9/1.42</f>
        <v>25.281690140845072</v>
      </c>
      <c r="DK1373" s="93" t="s">
        <v>1078</v>
      </c>
      <c r="FR1373" s="93" t="s">
        <v>1080</v>
      </c>
      <c r="FT1373" s="93">
        <v>61</v>
      </c>
    </row>
    <row r="1374" spans="1:176" s="93" customFormat="1" x14ac:dyDescent="0.25">
      <c r="A1374" s="93">
        <v>61</v>
      </c>
      <c r="B1374" s="93" t="s">
        <v>1058</v>
      </c>
      <c r="C1374" s="93" t="s">
        <v>1059</v>
      </c>
      <c r="D1374" s="93">
        <v>2003</v>
      </c>
      <c r="E1374" s="93">
        <v>2002</v>
      </c>
      <c r="F1374" s="93" t="s">
        <v>1060</v>
      </c>
      <c r="G1374" s="93" t="s">
        <v>1062</v>
      </c>
      <c r="H1374" s="93">
        <v>40.299999999999997</v>
      </c>
      <c r="I1374" s="93">
        <v>-86.9</v>
      </c>
      <c r="J1374" s="93">
        <v>221</v>
      </c>
      <c r="M1374" s="35">
        <v>1118</v>
      </c>
      <c r="P1374" s="94">
        <v>3</v>
      </c>
      <c r="Q1374" s="94" t="s">
        <v>994</v>
      </c>
      <c r="R1374" s="94" t="s">
        <v>1066</v>
      </c>
      <c r="S1374" s="94" t="s">
        <v>1558</v>
      </c>
      <c r="T1374" s="94" t="s">
        <v>1558</v>
      </c>
      <c r="U1374" s="94" t="s">
        <v>1558</v>
      </c>
      <c r="V1374" s="54" t="s">
        <v>1905</v>
      </c>
      <c r="W1374" s="93">
        <v>1.42</v>
      </c>
      <c r="Z1374" s="93" t="s">
        <v>531</v>
      </c>
      <c r="AD1374" s="93" t="s">
        <v>1487</v>
      </c>
      <c r="AE1374" s="93" t="s">
        <v>1707</v>
      </c>
      <c r="AF1374" s="152" t="s">
        <v>1761</v>
      </c>
      <c r="AG1374" s="93" t="s">
        <v>190</v>
      </c>
      <c r="AH1374" s="154" t="s">
        <v>1791</v>
      </c>
      <c r="AI1374" s="93" t="s">
        <v>1081</v>
      </c>
      <c r="AJ1374" s="93" t="s">
        <v>1081</v>
      </c>
      <c r="AK1374" s="93" t="s">
        <v>212</v>
      </c>
      <c r="AL1374" s="93" t="s">
        <v>269</v>
      </c>
      <c r="AM1374" s="93" t="s">
        <v>269</v>
      </c>
      <c r="AN1374" s="93" t="s">
        <v>212</v>
      </c>
      <c r="AR1374" s="93" t="s">
        <v>192</v>
      </c>
      <c r="AS1374" s="93">
        <v>4</v>
      </c>
      <c r="AT1374" s="93">
        <v>4</v>
      </c>
      <c r="AU1374" s="93" t="s">
        <v>169</v>
      </c>
      <c r="AW1374" s="93">
        <v>1543</v>
      </c>
      <c r="AY1374" s="93" t="s">
        <v>1063</v>
      </c>
      <c r="BG1374" s="93">
        <v>1.5</v>
      </c>
      <c r="BH1374" s="93">
        <v>1.51</v>
      </c>
      <c r="CH1374" s="93">
        <v>2.74</v>
      </c>
      <c r="CI1374" s="93">
        <v>2.83</v>
      </c>
      <c r="CJ1374" s="93" t="s">
        <v>1069</v>
      </c>
      <c r="CK1374" s="93">
        <v>13.76</v>
      </c>
      <c r="CL1374" s="93">
        <v>14.1</v>
      </c>
      <c r="CM1374" s="93" t="s">
        <v>1067</v>
      </c>
      <c r="CN1374" s="93">
        <v>2.08</v>
      </c>
      <c r="CO1374" s="93">
        <v>2.19</v>
      </c>
      <c r="CP1374" s="93" t="s">
        <v>1082</v>
      </c>
      <c r="DF1374" s="93">
        <v>22.1</v>
      </c>
      <c r="DG1374" s="93">
        <v>21.3</v>
      </c>
      <c r="DI1374" s="93">
        <f>24.8/1.42</f>
        <v>17.464788732394368</v>
      </c>
      <c r="DJ1374" s="93">
        <f>26.3/1.42</f>
        <v>18.52112676056338</v>
      </c>
      <c r="DK1374" s="93" t="s">
        <v>1079</v>
      </c>
      <c r="FR1374" s="93" t="s">
        <v>1080</v>
      </c>
      <c r="FT1374" s="93">
        <v>61</v>
      </c>
    </row>
    <row r="1375" spans="1:176" s="93" customFormat="1" x14ac:dyDescent="0.25">
      <c r="A1375" s="93">
        <v>61</v>
      </c>
      <c r="B1375" s="93" t="s">
        <v>1058</v>
      </c>
      <c r="C1375" s="93" t="s">
        <v>1059</v>
      </c>
      <c r="D1375" s="93">
        <v>2003</v>
      </c>
      <c r="E1375" s="93">
        <v>2002</v>
      </c>
      <c r="F1375" s="93" t="s">
        <v>1060</v>
      </c>
      <c r="G1375" s="93" t="s">
        <v>1062</v>
      </c>
      <c r="H1375" s="93">
        <v>40.299999999999997</v>
      </c>
      <c r="I1375" s="93">
        <v>-86.9</v>
      </c>
      <c r="J1375" s="93">
        <v>221</v>
      </c>
      <c r="M1375" s="35">
        <v>1118</v>
      </c>
      <c r="P1375" s="94">
        <v>3</v>
      </c>
      <c r="Q1375" s="94" t="s">
        <v>994</v>
      </c>
      <c r="R1375" s="94" t="s">
        <v>1066</v>
      </c>
      <c r="S1375" s="94" t="s">
        <v>1558</v>
      </c>
      <c r="T1375" s="94" t="s">
        <v>1558</v>
      </c>
      <c r="U1375" s="94" t="s">
        <v>1558</v>
      </c>
      <c r="V1375" s="54" t="s">
        <v>1905</v>
      </c>
      <c r="W1375" s="93">
        <v>1.42</v>
      </c>
      <c r="Z1375" s="93" t="s">
        <v>531</v>
      </c>
      <c r="AD1375" s="93" t="s">
        <v>1487</v>
      </c>
      <c r="AE1375" s="93" t="s">
        <v>1707</v>
      </c>
      <c r="AF1375" s="152" t="s">
        <v>1761</v>
      </c>
      <c r="AG1375" s="93" t="s">
        <v>160</v>
      </c>
      <c r="AH1375" s="154" t="s">
        <v>1791</v>
      </c>
      <c r="AI1375" s="93" t="s">
        <v>1081</v>
      </c>
      <c r="AJ1375" s="93" t="s">
        <v>1081</v>
      </c>
      <c r="AK1375" s="93" t="s">
        <v>212</v>
      </c>
      <c r="AL1375" s="93" t="s">
        <v>269</v>
      </c>
      <c r="AM1375" s="93" t="s">
        <v>269</v>
      </c>
      <c r="AN1375" s="93" t="s">
        <v>212</v>
      </c>
      <c r="AR1375" s="93" t="s">
        <v>192</v>
      </c>
      <c r="AS1375" s="93">
        <v>4</v>
      </c>
      <c r="AT1375" s="93">
        <v>4</v>
      </c>
      <c r="AU1375" s="93" t="s">
        <v>169</v>
      </c>
      <c r="AW1375" s="93">
        <v>2513</v>
      </c>
      <c r="AY1375" s="93" t="s">
        <v>1064</v>
      </c>
      <c r="BG1375" s="93">
        <v>1.5</v>
      </c>
      <c r="BH1375" s="93">
        <v>1.42</v>
      </c>
      <c r="CH1375" s="93">
        <v>2.74</v>
      </c>
      <c r="CI1375" s="93">
        <v>3.14</v>
      </c>
      <c r="CJ1375" s="93" t="s">
        <v>1069</v>
      </c>
      <c r="CK1375" s="93">
        <v>13.76</v>
      </c>
      <c r="CL1375" s="93">
        <v>17.18</v>
      </c>
      <c r="CM1375" s="93" t="s">
        <v>1067</v>
      </c>
      <c r="CN1375" s="93">
        <v>2.08</v>
      </c>
      <c r="CO1375" s="93">
        <v>2</v>
      </c>
      <c r="CP1375" s="93" t="s">
        <v>1082</v>
      </c>
      <c r="DF1375" s="93">
        <v>22.1</v>
      </c>
      <c r="DG1375" s="93">
        <v>18.899999999999999</v>
      </c>
      <c r="DI1375" s="93">
        <f>24.8/1.42</f>
        <v>17.464788732394368</v>
      </c>
      <c r="DJ1375" s="93">
        <f>29/1.42</f>
        <v>20.422535211267608</v>
      </c>
      <c r="DK1375" s="93" t="s">
        <v>1079</v>
      </c>
      <c r="FR1375" s="93" t="s">
        <v>1080</v>
      </c>
      <c r="FT1375" s="93">
        <v>61</v>
      </c>
    </row>
    <row r="1376" spans="1:176" s="93" customFormat="1" x14ac:dyDescent="0.25">
      <c r="A1376" s="93">
        <v>61</v>
      </c>
      <c r="B1376" s="93" t="s">
        <v>1058</v>
      </c>
      <c r="C1376" s="93" t="s">
        <v>1059</v>
      </c>
      <c r="D1376" s="93">
        <v>2003</v>
      </c>
      <c r="E1376" s="93">
        <v>2002</v>
      </c>
      <c r="F1376" s="93" t="s">
        <v>1060</v>
      </c>
      <c r="G1376" s="93" t="s">
        <v>1062</v>
      </c>
      <c r="H1376" s="93">
        <v>40.299999999999997</v>
      </c>
      <c r="I1376" s="93">
        <v>-86.9</v>
      </c>
      <c r="J1376" s="93">
        <v>221</v>
      </c>
      <c r="M1376" s="35">
        <v>1118</v>
      </c>
      <c r="P1376" s="94">
        <v>3</v>
      </c>
      <c r="Q1376" s="94" t="s">
        <v>994</v>
      </c>
      <c r="R1376" s="94" t="s">
        <v>1066</v>
      </c>
      <c r="S1376" s="94" t="s">
        <v>1558</v>
      </c>
      <c r="T1376" s="94" t="s">
        <v>1558</v>
      </c>
      <c r="U1376" s="94" t="s">
        <v>1558</v>
      </c>
      <c r="V1376" s="54" t="s">
        <v>1905</v>
      </c>
      <c r="W1376" s="93">
        <v>1.42</v>
      </c>
      <c r="Z1376" s="93" t="s">
        <v>531</v>
      </c>
      <c r="AD1376" s="93" t="s">
        <v>1487</v>
      </c>
      <c r="AE1376" s="93" t="s">
        <v>1707</v>
      </c>
      <c r="AF1376" s="152" t="s">
        <v>1761</v>
      </c>
      <c r="AG1376" s="93" t="s">
        <v>190</v>
      </c>
      <c r="AH1376" s="154" t="s">
        <v>1791</v>
      </c>
      <c r="AI1376" s="93" t="s">
        <v>1081</v>
      </c>
      <c r="AJ1376" s="93" t="s">
        <v>1081</v>
      </c>
      <c r="AK1376" s="93" t="s">
        <v>212</v>
      </c>
      <c r="AL1376" s="93" t="s">
        <v>188</v>
      </c>
      <c r="AM1376" s="93" t="s">
        <v>188</v>
      </c>
      <c r="AN1376" s="93" t="s">
        <v>212</v>
      </c>
      <c r="AR1376" s="93" t="s">
        <v>192</v>
      </c>
      <c r="AS1376" s="93">
        <v>4</v>
      </c>
      <c r="AT1376" s="93">
        <v>4</v>
      </c>
      <c r="AU1376" s="93" t="s">
        <v>169</v>
      </c>
      <c r="AW1376" s="93">
        <v>2096</v>
      </c>
      <c r="AY1376" s="93" t="s">
        <v>1063</v>
      </c>
      <c r="BG1376" s="93">
        <v>1.63</v>
      </c>
      <c r="BH1376" s="93">
        <v>1.6</v>
      </c>
      <c r="CH1376" s="93">
        <v>3.15</v>
      </c>
      <c r="CI1376" s="93">
        <v>2.79</v>
      </c>
      <c r="CJ1376" s="93" t="s">
        <v>1069</v>
      </c>
      <c r="CK1376" s="93">
        <v>9.2899999999999991</v>
      </c>
      <c r="CL1376" s="93">
        <v>10.32</v>
      </c>
      <c r="CM1376" s="93" t="s">
        <v>1067</v>
      </c>
      <c r="CN1376" s="93">
        <v>2.91</v>
      </c>
      <c r="CO1376" s="93">
        <v>2.64</v>
      </c>
      <c r="CP1376" s="93" t="s">
        <v>1082</v>
      </c>
      <c r="DF1376" s="93">
        <v>22.1</v>
      </c>
      <c r="DG1376" s="93">
        <v>20.6</v>
      </c>
      <c r="DI1376" s="93">
        <f>23.5/1.42</f>
        <v>16.549295774647888</v>
      </c>
      <c r="DJ1376" s="93">
        <f>24.5/1.42</f>
        <v>17.253521126760564</v>
      </c>
      <c r="DK1376" s="93" t="s">
        <v>1079</v>
      </c>
      <c r="FR1376" s="93" t="s">
        <v>1080</v>
      </c>
      <c r="FT1376" s="93">
        <v>61</v>
      </c>
    </row>
    <row r="1377" spans="1:176" s="93" customFormat="1" x14ac:dyDescent="0.25">
      <c r="A1377" s="93">
        <v>61</v>
      </c>
      <c r="B1377" s="93" t="s">
        <v>1058</v>
      </c>
      <c r="C1377" s="93" t="s">
        <v>1059</v>
      </c>
      <c r="D1377" s="93">
        <v>2003</v>
      </c>
      <c r="E1377" s="93">
        <v>2002</v>
      </c>
      <c r="F1377" s="93" t="s">
        <v>1060</v>
      </c>
      <c r="G1377" s="93" t="s">
        <v>1062</v>
      </c>
      <c r="H1377" s="93">
        <v>40.299999999999997</v>
      </c>
      <c r="I1377" s="93">
        <v>-86.9</v>
      </c>
      <c r="J1377" s="93">
        <v>221</v>
      </c>
      <c r="M1377" s="35">
        <v>1118</v>
      </c>
      <c r="P1377" s="94">
        <v>3</v>
      </c>
      <c r="Q1377" s="94" t="s">
        <v>994</v>
      </c>
      <c r="R1377" s="94" t="s">
        <v>1066</v>
      </c>
      <c r="S1377" s="94" t="s">
        <v>1558</v>
      </c>
      <c r="T1377" s="94" t="s">
        <v>1558</v>
      </c>
      <c r="U1377" s="94" t="s">
        <v>1558</v>
      </c>
      <c r="V1377" s="54" t="s">
        <v>1905</v>
      </c>
      <c r="W1377" s="93">
        <v>1.42</v>
      </c>
      <c r="Z1377" s="93" t="s">
        <v>531</v>
      </c>
      <c r="AD1377" s="93" t="s">
        <v>1487</v>
      </c>
      <c r="AE1377" s="93" t="s">
        <v>1707</v>
      </c>
      <c r="AF1377" s="152" t="s">
        <v>1761</v>
      </c>
      <c r="AG1377" s="93" t="s">
        <v>160</v>
      </c>
      <c r="AH1377" s="154" t="s">
        <v>1791</v>
      </c>
      <c r="AI1377" s="93" t="s">
        <v>1081</v>
      </c>
      <c r="AJ1377" s="93" t="s">
        <v>1081</v>
      </c>
      <c r="AK1377" s="93" t="s">
        <v>212</v>
      </c>
      <c r="AL1377" s="93" t="s">
        <v>188</v>
      </c>
      <c r="AM1377" s="93" t="s">
        <v>188</v>
      </c>
      <c r="AN1377" s="93" t="s">
        <v>212</v>
      </c>
      <c r="AR1377" s="93" t="s">
        <v>192</v>
      </c>
      <c r="AS1377" s="93">
        <v>4</v>
      </c>
      <c r="AT1377" s="93">
        <v>4</v>
      </c>
      <c r="AU1377" s="93" t="s">
        <v>169</v>
      </c>
      <c r="AW1377" s="93">
        <v>2833</v>
      </c>
      <c r="AY1377" s="93" t="s">
        <v>1064</v>
      </c>
      <c r="BG1377" s="93">
        <v>1.63</v>
      </c>
      <c r="BH1377" s="93">
        <v>1.61</v>
      </c>
      <c r="CH1377" s="93">
        <v>3.15</v>
      </c>
      <c r="CI1377" s="93">
        <v>3.09</v>
      </c>
      <c r="CJ1377" s="93" t="s">
        <v>1069</v>
      </c>
      <c r="CK1377" s="93">
        <v>9.2899999999999991</v>
      </c>
      <c r="CL1377" s="93">
        <v>8.94</v>
      </c>
      <c r="CM1377" s="93" t="s">
        <v>1067</v>
      </c>
      <c r="CN1377" s="93">
        <v>2.91</v>
      </c>
      <c r="CO1377" s="93">
        <v>2.36</v>
      </c>
      <c r="CP1377" s="93" t="s">
        <v>1082</v>
      </c>
      <c r="DF1377" s="93">
        <v>22.1</v>
      </c>
      <c r="DG1377" s="93">
        <v>19.399999999999999</v>
      </c>
      <c r="DI1377" s="93">
        <f>23.5/1.42</f>
        <v>16.549295774647888</v>
      </c>
      <c r="DJ1377" s="93">
        <f>26.7/1.42</f>
        <v>18.802816901408452</v>
      </c>
      <c r="DK1377" s="93" t="s">
        <v>1079</v>
      </c>
      <c r="FR1377" s="93" t="s">
        <v>1080</v>
      </c>
      <c r="FT1377" s="93">
        <v>61</v>
      </c>
    </row>
    <row r="1378" spans="1:176" s="31" customFormat="1" x14ac:dyDescent="0.25">
      <c r="A1378" s="31">
        <v>62</v>
      </c>
      <c r="B1378" s="31" t="s">
        <v>1083</v>
      </c>
      <c r="C1378" s="31" t="s">
        <v>1084</v>
      </c>
      <c r="D1378" s="31">
        <v>2004</v>
      </c>
      <c r="E1378" s="31">
        <v>1998</v>
      </c>
      <c r="F1378" s="31" t="s">
        <v>1085</v>
      </c>
      <c r="G1378" s="31" t="s">
        <v>1086</v>
      </c>
      <c r="H1378" s="31">
        <v>44.24</v>
      </c>
      <c r="I1378" s="31">
        <v>-95.31</v>
      </c>
      <c r="J1378" s="31">
        <v>344.5</v>
      </c>
      <c r="N1378" s="31">
        <v>670</v>
      </c>
      <c r="P1378" s="56">
        <v>1</v>
      </c>
      <c r="Q1378" s="56" t="s">
        <v>994</v>
      </c>
      <c r="R1378" s="56" t="s">
        <v>1089</v>
      </c>
      <c r="S1378" s="56" t="s">
        <v>1587</v>
      </c>
      <c r="T1378" s="56" t="s">
        <v>1587</v>
      </c>
      <c r="U1378" s="56" t="s">
        <v>1593</v>
      </c>
      <c r="V1378" s="56" t="s">
        <v>1917</v>
      </c>
      <c r="Z1378" s="31" t="s">
        <v>764</v>
      </c>
      <c r="AD1378" s="31" t="s">
        <v>1510</v>
      </c>
      <c r="AE1378" s="31" t="s">
        <v>1743</v>
      </c>
      <c r="AF1378" s="152" t="s">
        <v>159</v>
      </c>
      <c r="AG1378" s="31" t="s">
        <v>190</v>
      </c>
      <c r="AH1378" s="155" t="s">
        <v>1791</v>
      </c>
      <c r="AL1378" s="31" t="s">
        <v>1088</v>
      </c>
      <c r="AM1378" s="31" t="s">
        <v>1088</v>
      </c>
      <c r="AN1378" s="31" t="s">
        <v>212</v>
      </c>
      <c r="AO1378" s="31" t="s">
        <v>1087</v>
      </c>
      <c r="AP1378" s="31" t="s">
        <v>1087</v>
      </c>
      <c r="AQ1378" s="31" t="s">
        <v>212</v>
      </c>
      <c r="AR1378" s="31" t="s">
        <v>147</v>
      </c>
      <c r="AS1378" s="31">
        <v>4</v>
      </c>
      <c r="AT1378" s="31">
        <v>4</v>
      </c>
      <c r="AU1378" s="31" t="s">
        <v>169</v>
      </c>
      <c r="AW1378" s="31">
        <v>1000</v>
      </c>
      <c r="AX1378" s="31">
        <f>100/2.7</f>
        <v>37.037037037037038</v>
      </c>
      <c r="DC1378" s="31">
        <v>29.86</v>
      </c>
      <c r="DD1378" s="31">
        <v>23</v>
      </c>
      <c r="DE1378" s="31" t="s">
        <v>1869</v>
      </c>
      <c r="FT1378" s="31">
        <v>62</v>
      </c>
    </row>
    <row r="1379" spans="1:176" s="31" customFormat="1" x14ac:dyDescent="0.25">
      <c r="A1379" s="31">
        <v>62</v>
      </c>
      <c r="B1379" s="31" t="s">
        <v>1083</v>
      </c>
      <c r="C1379" s="31" t="s">
        <v>1084</v>
      </c>
      <c r="D1379" s="31">
        <v>2004</v>
      </c>
      <c r="E1379" s="31">
        <v>1998</v>
      </c>
      <c r="F1379" s="31" t="s">
        <v>1085</v>
      </c>
      <c r="G1379" s="31" t="s">
        <v>1086</v>
      </c>
      <c r="H1379" s="31">
        <v>44.24</v>
      </c>
      <c r="I1379" s="31">
        <v>-95.31</v>
      </c>
      <c r="J1379" s="31">
        <v>344.5</v>
      </c>
      <c r="N1379" s="31">
        <v>670</v>
      </c>
      <c r="P1379" s="56">
        <v>1</v>
      </c>
      <c r="Q1379" s="56" t="s">
        <v>994</v>
      </c>
      <c r="R1379" s="56" t="s">
        <v>1089</v>
      </c>
      <c r="S1379" s="56" t="s">
        <v>1587</v>
      </c>
      <c r="T1379" s="56" t="s">
        <v>1587</v>
      </c>
      <c r="U1379" s="56" t="s">
        <v>1593</v>
      </c>
      <c r="V1379" s="56" t="s">
        <v>1917</v>
      </c>
      <c r="Z1379" s="31" t="s">
        <v>764</v>
      </c>
      <c r="AD1379" s="31" t="s">
        <v>1510</v>
      </c>
      <c r="AE1379" s="31" t="s">
        <v>1743</v>
      </c>
      <c r="AF1379" s="152" t="s">
        <v>159</v>
      </c>
      <c r="AG1379" s="31" t="s">
        <v>160</v>
      </c>
      <c r="AH1379" s="155" t="s">
        <v>1791</v>
      </c>
      <c r="AL1379" s="31" t="s">
        <v>1088</v>
      </c>
      <c r="AM1379" s="31" t="s">
        <v>1088</v>
      </c>
      <c r="AN1379" s="31" t="s">
        <v>212</v>
      </c>
      <c r="AO1379" s="31" t="s">
        <v>1087</v>
      </c>
      <c r="AP1379" s="31" t="s">
        <v>1087</v>
      </c>
      <c r="AQ1379" s="31" t="s">
        <v>212</v>
      </c>
      <c r="AR1379" s="31" t="s">
        <v>147</v>
      </c>
      <c r="AS1379" s="31">
        <v>4</v>
      </c>
      <c r="AT1379" s="31">
        <v>4</v>
      </c>
      <c r="AU1379" s="31" t="s">
        <v>169</v>
      </c>
      <c r="AW1379" s="31">
        <v>1000</v>
      </c>
      <c r="AX1379" s="31">
        <f>100/2.7</f>
        <v>37.037037037037038</v>
      </c>
      <c r="DC1379" s="31">
        <v>24</v>
      </c>
      <c r="DD1379" s="31">
        <v>24</v>
      </c>
      <c r="DE1379" s="31" t="s">
        <v>1869</v>
      </c>
      <c r="FT1379" s="31">
        <v>62</v>
      </c>
    </row>
    <row r="1380" spans="1:176" x14ac:dyDescent="0.25">
      <c r="A1380" s="46">
        <v>62</v>
      </c>
      <c r="B1380" s="46" t="s">
        <v>1083</v>
      </c>
      <c r="C1380" s="46" t="s">
        <v>1084</v>
      </c>
      <c r="D1380" s="46">
        <v>2004</v>
      </c>
      <c r="E1380" s="46">
        <v>1999</v>
      </c>
      <c r="F1380" s="46" t="s">
        <v>1085</v>
      </c>
      <c r="G1380" s="46" t="s">
        <v>1086</v>
      </c>
      <c r="H1380" s="46">
        <v>44.24</v>
      </c>
      <c r="I1380" s="46">
        <v>-95.31</v>
      </c>
      <c r="J1380" s="46">
        <v>344.5</v>
      </c>
      <c r="N1380" s="46">
        <v>670</v>
      </c>
      <c r="P1380" s="81">
        <v>2</v>
      </c>
      <c r="Q1380" s="81" t="s">
        <v>994</v>
      </c>
      <c r="R1380" s="81" t="s">
        <v>1089</v>
      </c>
      <c r="S1380" s="81" t="s">
        <v>1587</v>
      </c>
      <c r="T1380" s="56" t="s">
        <v>1587</v>
      </c>
      <c r="U1380" s="56" t="s">
        <v>1593</v>
      </c>
      <c r="V1380" s="56" t="s">
        <v>1917</v>
      </c>
      <c r="Z1380" s="46" t="s">
        <v>764</v>
      </c>
      <c r="AD1380" s="46" t="s">
        <v>1510</v>
      </c>
      <c r="AE1380" s="46" t="s">
        <v>1743</v>
      </c>
      <c r="AF1380" s="152" t="s">
        <v>159</v>
      </c>
      <c r="AG1380" s="46" t="s">
        <v>190</v>
      </c>
      <c r="AH1380" s="155" t="s">
        <v>1791</v>
      </c>
      <c r="AL1380" s="46" t="s">
        <v>1088</v>
      </c>
      <c r="AM1380" s="46" t="s">
        <v>1088</v>
      </c>
      <c r="AN1380" s="46" t="s">
        <v>212</v>
      </c>
      <c r="AO1380" s="46" t="s">
        <v>1087</v>
      </c>
      <c r="AP1380" s="46" t="s">
        <v>1087</v>
      </c>
      <c r="AQ1380" s="46" t="s">
        <v>212</v>
      </c>
      <c r="AR1380" s="46" t="s">
        <v>147</v>
      </c>
      <c r="AS1380" s="46">
        <v>4</v>
      </c>
      <c r="AT1380" s="46">
        <v>4</v>
      </c>
      <c r="AU1380" s="46" t="s">
        <v>169</v>
      </c>
      <c r="AW1380" s="46">
        <v>2700</v>
      </c>
      <c r="AX1380" s="46">
        <f>100/2.5</f>
        <v>40</v>
      </c>
      <c r="BD1380" s="46">
        <v>2700</v>
      </c>
      <c r="BE1380" s="46">
        <v>2700</v>
      </c>
      <c r="FT1380" s="46">
        <v>62</v>
      </c>
    </row>
    <row r="1381" spans="1:176" x14ac:dyDescent="0.25">
      <c r="A1381" s="46">
        <v>62</v>
      </c>
      <c r="B1381" s="46" t="s">
        <v>1083</v>
      </c>
      <c r="C1381" s="46" t="s">
        <v>1084</v>
      </c>
      <c r="D1381" s="46">
        <v>2004</v>
      </c>
      <c r="E1381" s="46">
        <v>1999</v>
      </c>
      <c r="F1381" s="46" t="s">
        <v>1085</v>
      </c>
      <c r="G1381" s="46" t="s">
        <v>1086</v>
      </c>
      <c r="H1381" s="46">
        <v>44.24</v>
      </c>
      <c r="I1381" s="46">
        <v>-95.31</v>
      </c>
      <c r="J1381" s="46">
        <v>344.5</v>
      </c>
      <c r="N1381" s="46">
        <v>670</v>
      </c>
      <c r="P1381" s="81">
        <v>2</v>
      </c>
      <c r="Q1381" s="81" t="s">
        <v>994</v>
      </c>
      <c r="R1381" s="81" t="s">
        <v>1089</v>
      </c>
      <c r="S1381" s="81" t="s">
        <v>1587</v>
      </c>
      <c r="T1381" s="56" t="s">
        <v>1587</v>
      </c>
      <c r="U1381" s="56" t="s">
        <v>1593</v>
      </c>
      <c r="V1381" s="56" t="s">
        <v>1917</v>
      </c>
      <c r="Z1381" s="46" t="s">
        <v>764</v>
      </c>
      <c r="AD1381" s="46" t="s">
        <v>1510</v>
      </c>
      <c r="AE1381" s="46" t="s">
        <v>1743</v>
      </c>
      <c r="AF1381" s="152" t="s">
        <v>159</v>
      </c>
      <c r="AG1381" s="46" t="s">
        <v>160</v>
      </c>
      <c r="AH1381" s="155" t="s">
        <v>1791</v>
      </c>
      <c r="AL1381" s="46" t="s">
        <v>1088</v>
      </c>
      <c r="AM1381" s="46" t="s">
        <v>1088</v>
      </c>
      <c r="AN1381" s="46" t="s">
        <v>212</v>
      </c>
      <c r="AO1381" s="46" t="s">
        <v>1087</v>
      </c>
      <c r="AP1381" s="46" t="s">
        <v>1087</v>
      </c>
      <c r="AQ1381" s="46" t="s">
        <v>212</v>
      </c>
      <c r="AR1381" s="46" t="s">
        <v>147</v>
      </c>
      <c r="AS1381" s="46">
        <v>4</v>
      </c>
      <c r="AT1381" s="46">
        <v>4</v>
      </c>
      <c r="AU1381" s="46" t="s">
        <v>169</v>
      </c>
      <c r="AW1381" s="46">
        <v>2700</v>
      </c>
      <c r="AX1381" s="46">
        <f>100/2.5</f>
        <v>40</v>
      </c>
      <c r="BD1381" s="46">
        <v>10000</v>
      </c>
      <c r="BE1381" s="46">
        <v>9600</v>
      </c>
      <c r="FT1381" s="46">
        <v>62</v>
      </c>
    </row>
    <row r="1382" spans="1:176" s="31" customFormat="1" x14ac:dyDescent="0.25">
      <c r="A1382" s="31">
        <v>62</v>
      </c>
      <c r="B1382" s="31" t="s">
        <v>1083</v>
      </c>
      <c r="C1382" s="31" t="s">
        <v>1084</v>
      </c>
      <c r="D1382" s="31">
        <v>2004</v>
      </c>
      <c r="E1382" s="31">
        <v>2000</v>
      </c>
      <c r="F1382" s="31" t="s">
        <v>1085</v>
      </c>
      <c r="G1382" s="31" t="s">
        <v>1086</v>
      </c>
      <c r="H1382" s="31">
        <v>44.24</v>
      </c>
      <c r="I1382" s="31">
        <v>-95.31</v>
      </c>
      <c r="J1382" s="31">
        <v>344.5</v>
      </c>
      <c r="N1382" s="31">
        <v>670</v>
      </c>
      <c r="P1382" s="56">
        <v>3</v>
      </c>
      <c r="Q1382" s="56" t="s">
        <v>994</v>
      </c>
      <c r="R1382" s="56" t="s">
        <v>1089</v>
      </c>
      <c r="S1382" s="56" t="s">
        <v>1587</v>
      </c>
      <c r="T1382" s="56" t="s">
        <v>1587</v>
      </c>
      <c r="U1382" s="56" t="s">
        <v>1593</v>
      </c>
      <c r="V1382" s="56" t="s">
        <v>1917</v>
      </c>
      <c r="Z1382" s="31" t="s">
        <v>764</v>
      </c>
      <c r="AD1382" s="31" t="s">
        <v>1510</v>
      </c>
      <c r="AE1382" s="31" t="s">
        <v>1743</v>
      </c>
      <c r="AF1382" s="152" t="s">
        <v>159</v>
      </c>
      <c r="AG1382" s="31" t="s">
        <v>190</v>
      </c>
      <c r="AH1382" s="155" t="s">
        <v>1791</v>
      </c>
      <c r="AL1382" s="31" t="s">
        <v>1088</v>
      </c>
      <c r="AM1382" s="31" t="s">
        <v>1088</v>
      </c>
      <c r="AN1382" s="31" t="s">
        <v>212</v>
      </c>
      <c r="AO1382" s="31" t="s">
        <v>1087</v>
      </c>
      <c r="AP1382" s="31" t="s">
        <v>1087</v>
      </c>
      <c r="AQ1382" s="31" t="s">
        <v>212</v>
      </c>
      <c r="AR1382" s="31" t="s">
        <v>147</v>
      </c>
      <c r="AS1382" s="31">
        <v>4</v>
      </c>
      <c r="AT1382" s="31">
        <v>4</v>
      </c>
      <c r="AU1382" s="31" t="s">
        <v>169</v>
      </c>
      <c r="AW1382" s="31">
        <v>1000</v>
      </c>
      <c r="AX1382" s="31">
        <f>100/2.7</f>
        <v>37.037037037037038</v>
      </c>
      <c r="BD1382" s="31">
        <v>3500</v>
      </c>
      <c r="BE1382" s="31">
        <v>3400</v>
      </c>
      <c r="FT1382" s="31">
        <v>62</v>
      </c>
    </row>
    <row r="1383" spans="1:176" s="31" customFormat="1" x14ac:dyDescent="0.25">
      <c r="A1383" s="31">
        <v>62</v>
      </c>
      <c r="B1383" s="31" t="s">
        <v>1083</v>
      </c>
      <c r="C1383" s="31" t="s">
        <v>1084</v>
      </c>
      <c r="D1383" s="31">
        <v>2004</v>
      </c>
      <c r="E1383" s="31">
        <v>2000</v>
      </c>
      <c r="F1383" s="31" t="s">
        <v>1085</v>
      </c>
      <c r="G1383" s="31" t="s">
        <v>1086</v>
      </c>
      <c r="H1383" s="31">
        <v>44.24</v>
      </c>
      <c r="I1383" s="31">
        <v>-95.31</v>
      </c>
      <c r="J1383" s="31">
        <v>344.5</v>
      </c>
      <c r="N1383" s="31">
        <v>670</v>
      </c>
      <c r="P1383" s="56">
        <v>3</v>
      </c>
      <c r="Q1383" s="56" t="s">
        <v>994</v>
      </c>
      <c r="R1383" s="56" t="s">
        <v>1089</v>
      </c>
      <c r="S1383" s="56" t="s">
        <v>1587</v>
      </c>
      <c r="T1383" s="56" t="s">
        <v>1587</v>
      </c>
      <c r="U1383" s="56" t="s">
        <v>1593</v>
      </c>
      <c r="V1383" s="56" t="s">
        <v>1917</v>
      </c>
      <c r="Z1383" s="31" t="s">
        <v>764</v>
      </c>
      <c r="AD1383" s="31" t="s">
        <v>1510</v>
      </c>
      <c r="AE1383" s="31" t="s">
        <v>1743</v>
      </c>
      <c r="AF1383" s="152" t="s">
        <v>159</v>
      </c>
      <c r="AG1383" s="31" t="s">
        <v>160</v>
      </c>
      <c r="AH1383" s="155" t="s">
        <v>1791</v>
      </c>
      <c r="AL1383" s="31" t="s">
        <v>1088</v>
      </c>
      <c r="AM1383" s="31" t="s">
        <v>1088</v>
      </c>
      <c r="AN1383" s="31" t="s">
        <v>212</v>
      </c>
      <c r="AO1383" s="31" t="s">
        <v>1087</v>
      </c>
      <c r="AP1383" s="31" t="s">
        <v>1087</v>
      </c>
      <c r="AQ1383" s="31" t="s">
        <v>212</v>
      </c>
      <c r="AR1383" s="31" t="s">
        <v>147</v>
      </c>
      <c r="AS1383" s="31">
        <v>4</v>
      </c>
      <c r="AT1383" s="31">
        <v>4</v>
      </c>
      <c r="AU1383" s="31" t="s">
        <v>169</v>
      </c>
      <c r="AW1383" s="31">
        <v>1000</v>
      </c>
      <c r="AX1383" s="31">
        <f>100/2.7</f>
        <v>37.037037037037038</v>
      </c>
      <c r="BD1383" s="31">
        <v>9800</v>
      </c>
      <c r="BE1383" s="31">
        <v>9700</v>
      </c>
      <c r="FT1383" s="31">
        <v>62</v>
      </c>
    </row>
    <row r="1384" spans="1:176" x14ac:dyDescent="0.25">
      <c r="A1384" s="46">
        <v>62</v>
      </c>
      <c r="B1384" s="46" t="s">
        <v>1083</v>
      </c>
      <c r="C1384" s="46" t="s">
        <v>1084</v>
      </c>
      <c r="D1384" s="46">
        <v>2004</v>
      </c>
      <c r="E1384" s="46">
        <v>2001</v>
      </c>
      <c r="F1384" s="46" t="s">
        <v>1085</v>
      </c>
      <c r="G1384" s="46" t="s">
        <v>1086</v>
      </c>
      <c r="H1384" s="46">
        <v>44.24</v>
      </c>
      <c r="I1384" s="46">
        <v>-95.31</v>
      </c>
      <c r="J1384" s="46">
        <v>344.5</v>
      </c>
      <c r="N1384" s="46">
        <v>670</v>
      </c>
      <c r="P1384" s="81">
        <v>4</v>
      </c>
      <c r="Q1384" s="81" t="s">
        <v>994</v>
      </c>
      <c r="R1384" s="81" t="s">
        <v>1089</v>
      </c>
      <c r="S1384" s="81" t="s">
        <v>1587</v>
      </c>
      <c r="T1384" s="56" t="s">
        <v>1587</v>
      </c>
      <c r="U1384" s="56" t="s">
        <v>1593</v>
      </c>
      <c r="V1384" s="56" t="s">
        <v>1917</v>
      </c>
      <c r="Z1384" s="46" t="s">
        <v>764</v>
      </c>
      <c r="AD1384" s="46" t="s">
        <v>1510</v>
      </c>
      <c r="AE1384" s="46" t="s">
        <v>1743</v>
      </c>
      <c r="AF1384" s="152" t="s">
        <v>159</v>
      </c>
      <c r="AG1384" s="46" t="s">
        <v>190</v>
      </c>
      <c r="AH1384" s="155" t="s">
        <v>1791</v>
      </c>
      <c r="AL1384" s="46" t="s">
        <v>1088</v>
      </c>
      <c r="AM1384" s="46" t="s">
        <v>1088</v>
      </c>
      <c r="AN1384" s="46" t="s">
        <v>212</v>
      </c>
      <c r="AO1384" s="46" t="s">
        <v>1087</v>
      </c>
      <c r="AP1384" s="46" t="s">
        <v>1087</v>
      </c>
      <c r="AQ1384" s="46" t="s">
        <v>212</v>
      </c>
      <c r="AR1384" s="46" t="s">
        <v>147</v>
      </c>
      <c r="AS1384" s="46">
        <v>4</v>
      </c>
      <c r="AT1384" s="46">
        <v>4</v>
      </c>
      <c r="AU1384" s="46" t="s">
        <v>169</v>
      </c>
      <c r="AW1384" s="46">
        <v>500</v>
      </c>
      <c r="AX1384" s="46">
        <f>100/3.8</f>
        <v>26.315789473684212</v>
      </c>
      <c r="BD1384" s="46">
        <v>3100</v>
      </c>
      <c r="BE1384" s="46">
        <v>3100</v>
      </c>
      <c r="FT1384" s="46">
        <v>62</v>
      </c>
    </row>
    <row r="1385" spans="1:176" x14ac:dyDescent="0.25">
      <c r="A1385" s="46">
        <v>62</v>
      </c>
      <c r="B1385" s="46" t="s">
        <v>1083</v>
      </c>
      <c r="C1385" s="46" t="s">
        <v>1084</v>
      </c>
      <c r="D1385" s="46">
        <v>2004</v>
      </c>
      <c r="E1385" s="46">
        <v>2001</v>
      </c>
      <c r="F1385" s="46" t="s">
        <v>1085</v>
      </c>
      <c r="G1385" s="46" t="s">
        <v>1086</v>
      </c>
      <c r="H1385" s="46">
        <v>44.24</v>
      </c>
      <c r="I1385" s="46">
        <v>-95.31</v>
      </c>
      <c r="J1385" s="46">
        <v>344.5</v>
      </c>
      <c r="N1385" s="46">
        <v>670</v>
      </c>
      <c r="P1385" s="81">
        <v>4</v>
      </c>
      <c r="Q1385" s="81" t="s">
        <v>994</v>
      </c>
      <c r="R1385" s="81" t="s">
        <v>1089</v>
      </c>
      <c r="S1385" s="81" t="s">
        <v>1587</v>
      </c>
      <c r="T1385" s="56" t="s">
        <v>1587</v>
      </c>
      <c r="U1385" s="56" t="s">
        <v>1593</v>
      </c>
      <c r="V1385" s="56" t="s">
        <v>1917</v>
      </c>
      <c r="Z1385" s="46" t="s">
        <v>764</v>
      </c>
      <c r="AD1385" s="46" t="s">
        <v>1510</v>
      </c>
      <c r="AE1385" s="46" t="s">
        <v>1743</v>
      </c>
      <c r="AF1385" s="152" t="s">
        <v>159</v>
      </c>
      <c r="AG1385" s="46" t="s">
        <v>160</v>
      </c>
      <c r="AH1385" s="155" t="s">
        <v>1791</v>
      </c>
      <c r="AL1385" s="46" t="s">
        <v>1088</v>
      </c>
      <c r="AM1385" s="46" t="s">
        <v>1088</v>
      </c>
      <c r="AN1385" s="46" t="s">
        <v>212</v>
      </c>
      <c r="AO1385" s="46" t="s">
        <v>1087</v>
      </c>
      <c r="AP1385" s="46" t="s">
        <v>1087</v>
      </c>
      <c r="AQ1385" s="46" t="s">
        <v>212</v>
      </c>
      <c r="AR1385" s="46" t="s">
        <v>147</v>
      </c>
      <c r="AS1385" s="46">
        <v>4</v>
      </c>
      <c r="AT1385" s="46">
        <v>4</v>
      </c>
      <c r="AU1385" s="46" t="s">
        <v>169</v>
      </c>
      <c r="AW1385" s="46">
        <v>500</v>
      </c>
      <c r="AX1385" s="46">
        <f>100/3.8</f>
        <v>26.315789473684212</v>
      </c>
      <c r="BD1385" s="46">
        <v>7400</v>
      </c>
      <c r="BE1385" s="46">
        <v>7600</v>
      </c>
      <c r="FT1385" s="46">
        <v>62</v>
      </c>
    </row>
    <row r="1386" spans="1:176" s="35" customFormat="1" x14ac:dyDescent="0.25">
      <c r="A1386" s="35">
        <v>63</v>
      </c>
      <c r="B1386" s="35" t="s">
        <v>1090</v>
      </c>
      <c r="C1386" s="35" t="s">
        <v>1091</v>
      </c>
      <c r="D1386" s="35">
        <v>1993</v>
      </c>
      <c r="E1386" s="35">
        <v>1989</v>
      </c>
      <c r="F1386" s="35" t="s">
        <v>342</v>
      </c>
      <c r="G1386" s="35" t="s">
        <v>1092</v>
      </c>
      <c r="H1386" s="35">
        <v>39.03</v>
      </c>
      <c r="I1386" s="35">
        <v>-76.91</v>
      </c>
      <c r="J1386" s="35">
        <v>34.6</v>
      </c>
      <c r="P1386" s="54">
        <v>1</v>
      </c>
      <c r="Q1386" s="54" t="s">
        <v>994</v>
      </c>
      <c r="R1386" s="54" t="s">
        <v>1094</v>
      </c>
      <c r="S1386" s="54" t="s">
        <v>1570</v>
      </c>
      <c r="T1386" s="54" t="s">
        <v>1570</v>
      </c>
      <c r="U1386" s="54" t="s">
        <v>1570</v>
      </c>
      <c r="V1386" s="54" t="s">
        <v>1910</v>
      </c>
      <c r="Z1386" s="35" t="s">
        <v>531</v>
      </c>
      <c r="AD1386" s="35" t="s">
        <v>1512</v>
      </c>
      <c r="AE1386" s="35" t="s">
        <v>281</v>
      </c>
      <c r="AF1386" s="152" t="s">
        <v>666</v>
      </c>
      <c r="AG1386" s="35" t="s">
        <v>1781</v>
      </c>
      <c r="AH1386" s="154" t="s">
        <v>1781</v>
      </c>
      <c r="AR1386" s="35" t="s">
        <v>1095</v>
      </c>
      <c r="AS1386" s="35">
        <v>4</v>
      </c>
      <c r="AT1386" s="35">
        <v>4</v>
      </c>
      <c r="AU1386" s="35" t="s">
        <v>169</v>
      </c>
      <c r="AW1386" s="35">
        <v>4620</v>
      </c>
      <c r="AY1386" s="35" t="s">
        <v>1318</v>
      </c>
      <c r="DF1386" s="35">
        <f>(30.2+20.6)/2</f>
        <v>25.4</v>
      </c>
      <c r="DG1386" s="35">
        <f>(27.6+21.4)/2</f>
        <v>24.5</v>
      </c>
      <c r="FR1386" s="35" t="s">
        <v>1107</v>
      </c>
      <c r="FT1386" s="35">
        <v>63</v>
      </c>
    </row>
    <row r="1387" spans="1:176" s="35" customFormat="1" x14ac:dyDescent="0.25">
      <c r="A1387" s="35">
        <v>63</v>
      </c>
      <c r="B1387" s="35" t="s">
        <v>1090</v>
      </c>
      <c r="C1387" s="35" t="s">
        <v>1091</v>
      </c>
      <c r="D1387" s="35">
        <v>1993</v>
      </c>
      <c r="E1387" s="35">
        <v>1989</v>
      </c>
      <c r="F1387" s="35" t="s">
        <v>342</v>
      </c>
      <c r="G1387" s="35" t="s">
        <v>1092</v>
      </c>
      <c r="H1387" s="35">
        <v>39.03</v>
      </c>
      <c r="I1387" s="35">
        <v>-76.91</v>
      </c>
      <c r="J1387" s="35">
        <v>34.6</v>
      </c>
      <c r="P1387" s="54">
        <v>1</v>
      </c>
      <c r="Q1387" s="54" t="s">
        <v>994</v>
      </c>
      <c r="R1387" s="54" t="s">
        <v>1094</v>
      </c>
      <c r="S1387" s="54" t="s">
        <v>1570</v>
      </c>
      <c r="T1387" s="54" t="s">
        <v>1570</v>
      </c>
      <c r="U1387" s="54" t="s">
        <v>1570</v>
      </c>
      <c r="V1387" s="54" t="s">
        <v>1910</v>
      </c>
      <c r="Z1387" s="35" t="s">
        <v>531</v>
      </c>
      <c r="AD1387" s="35" t="s">
        <v>1512</v>
      </c>
      <c r="AE1387" s="35" t="s">
        <v>281</v>
      </c>
      <c r="AF1387" s="152" t="s">
        <v>666</v>
      </c>
      <c r="AG1387" s="35" t="s">
        <v>1781</v>
      </c>
      <c r="AH1387" s="154" t="s">
        <v>1781</v>
      </c>
      <c r="AR1387" s="35" t="s">
        <v>1095</v>
      </c>
      <c r="AS1387" s="35">
        <v>4</v>
      </c>
      <c r="AT1387" s="35">
        <v>4</v>
      </c>
      <c r="AU1387" s="35" t="s">
        <v>169</v>
      </c>
      <c r="AW1387" s="35">
        <v>9240</v>
      </c>
      <c r="AY1387" s="35" t="s">
        <v>1318</v>
      </c>
      <c r="DF1387" s="35">
        <f>(30.2+20.6)/2</f>
        <v>25.4</v>
      </c>
      <c r="DG1387" s="35">
        <f>(26.9+21.1)/2</f>
        <v>24</v>
      </c>
      <c r="FR1387" s="35" t="s">
        <v>1107</v>
      </c>
      <c r="FT1387" s="35">
        <v>63</v>
      </c>
    </row>
    <row r="1388" spans="1:176" s="35" customFormat="1" x14ac:dyDescent="0.25">
      <c r="A1388" s="35">
        <v>63</v>
      </c>
      <c r="B1388" s="35" t="s">
        <v>1090</v>
      </c>
      <c r="C1388" s="35" t="s">
        <v>1091</v>
      </c>
      <c r="D1388" s="35">
        <v>1993</v>
      </c>
      <c r="E1388" s="35">
        <v>1990</v>
      </c>
      <c r="F1388" s="35" t="s">
        <v>342</v>
      </c>
      <c r="G1388" s="35" t="s">
        <v>1092</v>
      </c>
      <c r="H1388" s="35">
        <v>39.03</v>
      </c>
      <c r="I1388" s="35">
        <v>-76.91</v>
      </c>
      <c r="J1388" s="35">
        <v>34.6</v>
      </c>
      <c r="P1388" s="54">
        <v>2</v>
      </c>
      <c r="Q1388" s="54" t="s">
        <v>994</v>
      </c>
      <c r="R1388" s="54" t="s">
        <v>1094</v>
      </c>
      <c r="S1388" s="54" t="s">
        <v>1570</v>
      </c>
      <c r="T1388" s="54" t="s">
        <v>1570</v>
      </c>
      <c r="U1388" s="54" t="s">
        <v>1570</v>
      </c>
      <c r="V1388" s="54" t="s">
        <v>1910</v>
      </c>
      <c r="Z1388" s="35" t="s">
        <v>531</v>
      </c>
      <c r="AD1388" s="35" t="s">
        <v>1512</v>
      </c>
      <c r="AE1388" s="35" t="s">
        <v>281</v>
      </c>
      <c r="AF1388" s="152" t="s">
        <v>666</v>
      </c>
      <c r="AG1388" s="35" t="s">
        <v>1781</v>
      </c>
      <c r="AH1388" s="154" t="s">
        <v>1781</v>
      </c>
      <c r="AR1388" s="35" t="s">
        <v>1095</v>
      </c>
      <c r="AS1388" s="35">
        <v>4</v>
      </c>
      <c r="AT1388" s="35">
        <v>4</v>
      </c>
      <c r="AU1388" s="35" t="s">
        <v>169</v>
      </c>
      <c r="AW1388" s="35">
        <v>3190</v>
      </c>
      <c r="AY1388" s="35" t="s">
        <v>1318</v>
      </c>
      <c r="DF1388" s="35">
        <f>(26.3+15.5)/2</f>
        <v>20.9</v>
      </c>
      <c r="DG1388" s="35">
        <f>(23.7+17)/2</f>
        <v>20.350000000000001</v>
      </c>
      <c r="FR1388" s="35" t="s">
        <v>1107</v>
      </c>
      <c r="FT1388" s="35">
        <v>63</v>
      </c>
    </row>
    <row r="1389" spans="1:176" s="35" customFormat="1" x14ac:dyDescent="0.25">
      <c r="A1389" s="35">
        <v>63</v>
      </c>
      <c r="B1389" s="35" t="s">
        <v>1090</v>
      </c>
      <c r="C1389" s="35" t="s">
        <v>1091</v>
      </c>
      <c r="D1389" s="35">
        <v>1993</v>
      </c>
      <c r="E1389" s="35">
        <v>1990</v>
      </c>
      <c r="F1389" s="35" t="s">
        <v>342</v>
      </c>
      <c r="G1389" s="35" t="s">
        <v>1092</v>
      </c>
      <c r="H1389" s="35">
        <v>39.03</v>
      </c>
      <c r="I1389" s="35">
        <v>-76.91</v>
      </c>
      <c r="J1389" s="35">
        <v>34.6</v>
      </c>
      <c r="P1389" s="54">
        <v>2</v>
      </c>
      <c r="Q1389" s="54" t="s">
        <v>994</v>
      </c>
      <c r="R1389" s="54" t="s">
        <v>1094</v>
      </c>
      <c r="S1389" s="54" t="s">
        <v>1570</v>
      </c>
      <c r="T1389" s="54" t="s">
        <v>1570</v>
      </c>
      <c r="U1389" s="54" t="s">
        <v>1570</v>
      </c>
      <c r="V1389" s="54" t="s">
        <v>1910</v>
      </c>
      <c r="Z1389" s="35" t="s">
        <v>531</v>
      </c>
      <c r="AD1389" s="35" t="s">
        <v>1512</v>
      </c>
      <c r="AE1389" s="35" t="s">
        <v>281</v>
      </c>
      <c r="AF1389" s="152" t="s">
        <v>666</v>
      </c>
      <c r="AG1389" s="35" t="s">
        <v>1781</v>
      </c>
      <c r="AH1389" s="154" t="s">
        <v>1781</v>
      </c>
      <c r="AR1389" s="35" t="s">
        <v>1095</v>
      </c>
      <c r="AS1389" s="35">
        <v>4</v>
      </c>
      <c r="AT1389" s="35">
        <v>4</v>
      </c>
      <c r="AU1389" s="35" t="s">
        <v>169</v>
      </c>
      <c r="AW1389" s="35">
        <v>6380</v>
      </c>
      <c r="AY1389" s="35" t="s">
        <v>1318</v>
      </c>
      <c r="DF1389" s="35">
        <f>(26.3+15.5)/2</f>
        <v>20.9</v>
      </c>
      <c r="DG1389" s="35">
        <f>(23.6+16.3)/2</f>
        <v>19.950000000000003</v>
      </c>
      <c r="FR1389" s="35" t="s">
        <v>1107</v>
      </c>
      <c r="FT1389" s="35">
        <v>63</v>
      </c>
    </row>
    <row r="1390" spans="1:176" s="26" customFormat="1" x14ac:dyDescent="0.25">
      <c r="A1390" s="26">
        <v>63</v>
      </c>
      <c r="B1390" s="26" t="s">
        <v>1090</v>
      </c>
      <c r="C1390" s="26" t="s">
        <v>1091</v>
      </c>
      <c r="D1390" s="26">
        <v>1993</v>
      </c>
      <c r="E1390" s="26">
        <v>1989</v>
      </c>
      <c r="F1390" s="26" t="s">
        <v>342</v>
      </c>
      <c r="G1390" s="26" t="s">
        <v>1110</v>
      </c>
      <c r="H1390" s="26">
        <v>42.44</v>
      </c>
      <c r="I1390" s="26">
        <v>-76.52</v>
      </c>
      <c r="J1390" s="26">
        <v>188.1</v>
      </c>
      <c r="P1390" s="52">
        <v>1</v>
      </c>
      <c r="Q1390" s="52" t="s">
        <v>994</v>
      </c>
      <c r="R1390" s="52" t="s">
        <v>1093</v>
      </c>
      <c r="S1390" s="52" t="s">
        <v>1570</v>
      </c>
      <c r="T1390" s="52" t="s">
        <v>1570</v>
      </c>
      <c r="U1390" s="52" t="s">
        <v>1570</v>
      </c>
      <c r="V1390" s="52" t="s">
        <v>1910</v>
      </c>
      <c r="Z1390" s="26" t="s">
        <v>531</v>
      </c>
      <c r="AD1390" s="26" t="s">
        <v>1512</v>
      </c>
      <c r="AE1390" s="26" t="s">
        <v>281</v>
      </c>
      <c r="AF1390" s="152" t="s">
        <v>666</v>
      </c>
      <c r="AG1390" s="26" t="s">
        <v>1781</v>
      </c>
      <c r="AH1390" s="154" t="s">
        <v>1781</v>
      </c>
      <c r="AR1390" s="26" t="s">
        <v>1095</v>
      </c>
      <c r="AS1390" s="26">
        <v>6</v>
      </c>
      <c r="AT1390" s="26">
        <v>6</v>
      </c>
      <c r="AU1390" s="26" t="s">
        <v>169</v>
      </c>
      <c r="AY1390" s="26" t="s">
        <v>1317</v>
      </c>
      <c r="AZ1390" s="26" t="s">
        <v>1096</v>
      </c>
      <c r="DI1390" s="26">
        <v>22.57</v>
      </c>
      <c r="DJ1390" s="26">
        <v>25.324999999999999</v>
      </c>
      <c r="FR1390" s="26" t="s">
        <v>1107</v>
      </c>
      <c r="FT1390" s="26">
        <v>63</v>
      </c>
    </row>
    <row r="1391" spans="1:176" s="26" customFormat="1" x14ac:dyDescent="0.25">
      <c r="A1391" s="26">
        <v>63</v>
      </c>
      <c r="B1391" s="26" t="s">
        <v>1090</v>
      </c>
      <c r="C1391" s="26" t="s">
        <v>1091</v>
      </c>
      <c r="D1391" s="26">
        <v>1993</v>
      </c>
      <c r="E1391" s="26">
        <v>1989</v>
      </c>
      <c r="F1391" s="26" t="s">
        <v>342</v>
      </c>
      <c r="G1391" s="26" t="s">
        <v>1110</v>
      </c>
      <c r="H1391" s="26">
        <v>42.44</v>
      </c>
      <c r="I1391" s="26">
        <v>-76.52</v>
      </c>
      <c r="J1391" s="26">
        <v>188.1</v>
      </c>
      <c r="P1391" s="52">
        <v>1</v>
      </c>
      <c r="Q1391" s="52" t="s">
        <v>994</v>
      </c>
      <c r="R1391" s="52" t="s">
        <v>1093</v>
      </c>
      <c r="S1391" s="52" t="s">
        <v>1570</v>
      </c>
      <c r="T1391" s="52" t="s">
        <v>1570</v>
      </c>
      <c r="U1391" s="52" t="s">
        <v>1570</v>
      </c>
      <c r="V1391" s="52" t="s">
        <v>1910</v>
      </c>
      <c r="Z1391" s="26" t="s">
        <v>531</v>
      </c>
      <c r="AD1391" s="26" t="s">
        <v>1512</v>
      </c>
      <c r="AE1391" s="26" t="s">
        <v>281</v>
      </c>
      <c r="AF1391" s="152" t="s">
        <v>666</v>
      </c>
      <c r="AG1391" s="26" t="s">
        <v>1781</v>
      </c>
      <c r="AH1391" s="154" t="s">
        <v>1781</v>
      </c>
      <c r="AR1391" s="26" t="s">
        <v>1095</v>
      </c>
      <c r="AS1391" s="26">
        <v>6</v>
      </c>
      <c r="AT1391" s="26">
        <v>6</v>
      </c>
      <c r="AU1391" s="26" t="s">
        <v>169</v>
      </c>
      <c r="AY1391" s="26" t="s">
        <v>1317</v>
      </c>
      <c r="AZ1391" s="26" t="s">
        <v>1097</v>
      </c>
      <c r="DI1391" s="26">
        <v>24.65</v>
      </c>
      <c r="DJ1391" s="26">
        <v>25.1</v>
      </c>
      <c r="FR1391" s="26" t="s">
        <v>1107</v>
      </c>
      <c r="FT1391" s="26">
        <v>63</v>
      </c>
    </row>
    <row r="1392" spans="1:176" s="26" customFormat="1" x14ac:dyDescent="0.25">
      <c r="A1392" s="26">
        <v>63</v>
      </c>
      <c r="B1392" s="26" t="s">
        <v>1090</v>
      </c>
      <c r="C1392" s="26" t="s">
        <v>1091</v>
      </c>
      <c r="D1392" s="26">
        <v>1993</v>
      </c>
      <c r="E1392" s="26">
        <v>1989</v>
      </c>
      <c r="F1392" s="26" t="s">
        <v>342</v>
      </c>
      <c r="G1392" s="26" t="s">
        <v>1110</v>
      </c>
      <c r="H1392" s="26">
        <v>42.44</v>
      </c>
      <c r="I1392" s="26">
        <v>-76.52</v>
      </c>
      <c r="J1392" s="26">
        <v>188.1</v>
      </c>
      <c r="P1392" s="52">
        <v>1</v>
      </c>
      <c r="Q1392" s="52" t="s">
        <v>994</v>
      </c>
      <c r="R1392" s="52" t="s">
        <v>1093</v>
      </c>
      <c r="S1392" s="52" t="s">
        <v>1570</v>
      </c>
      <c r="T1392" s="52" t="s">
        <v>1570</v>
      </c>
      <c r="U1392" s="52" t="s">
        <v>1570</v>
      </c>
      <c r="V1392" s="52" t="s">
        <v>1910</v>
      </c>
      <c r="Z1392" s="26" t="s">
        <v>531</v>
      </c>
      <c r="AD1392" s="26" t="s">
        <v>1512</v>
      </c>
      <c r="AE1392" s="26" t="s">
        <v>281</v>
      </c>
      <c r="AF1392" s="152" t="s">
        <v>666</v>
      </c>
      <c r="AG1392" s="26" t="s">
        <v>1781</v>
      </c>
      <c r="AH1392" s="154" t="s">
        <v>1781</v>
      </c>
      <c r="AR1392" s="26" t="s">
        <v>1095</v>
      </c>
      <c r="AS1392" s="26">
        <v>6</v>
      </c>
      <c r="AT1392" s="26">
        <v>6</v>
      </c>
      <c r="AU1392" s="26" t="s">
        <v>169</v>
      </c>
      <c r="AY1392" s="26" t="s">
        <v>1317</v>
      </c>
      <c r="AZ1392" s="26" t="s">
        <v>1098</v>
      </c>
      <c r="DI1392" s="26">
        <v>21.39</v>
      </c>
      <c r="DJ1392" s="26">
        <v>25.1</v>
      </c>
      <c r="FR1392" s="26" t="s">
        <v>1107</v>
      </c>
      <c r="FT1392" s="26">
        <v>63</v>
      </c>
    </row>
    <row r="1393" spans="1:176" s="26" customFormat="1" x14ac:dyDescent="0.25">
      <c r="A1393" s="26">
        <v>63</v>
      </c>
      <c r="B1393" s="26" t="s">
        <v>1090</v>
      </c>
      <c r="C1393" s="26" t="s">
        <v>1091</v>
      </c>
      <c r="D1393" s="26">
        <v>1993</v>
      </c>
      <c r="E1393" s="26">
        <v>1989</v>
      </c>
      <c r="F1393" s="26" t="s">
        <v>342</v>
      </c>
      <c r="G1393" s="26" t="s">
        <v>1110</v>
      </c>
      <c r="H1393" s="26">
        <v>42.44</v>
      </c>
      <c r="I1393" s="26">
        <v>-76.52</v>
      </c>
      <c r="J1393" s="26">
        <v>188.1</v>
      </c>
      <c r="P1393" s="52">
        <v>1</v>
      </c>
      <c r="Q1393" s="52" t="s">
        <v>994</v>
      </c>
      <c r="R1393" s="52" t="s">
        <v>1093</v>
      </c>
      <c r="S1393" s="52" t="s">
        <v>1570</v>
      </c>
      <c r="T1393" s="52" t="s">
        <v>1570</v>
      </c>
      <c r="U1393" s="52" t="s">
        <v>1570</v>
      </c>
      <c r="V1393" s="52" t="s">
        <v>1910</v>
      </c>
      <c r="Z1393" s="26" t="s">
        <v>531</v>
      </c>
      <c r="AD1393" s="26" t="s">
        <v>1512</v>
      </c>
      <c r="AE1393" s="26" t="s">
        <v>281</v>
      </c>
      <c r="AF1393" s="152" t="s">
        <v>666</v>
      </c>
      <c r="AG1393" s="26" t="s">
        <v>1781</v>
      </c>
      <c r="AH1393" s="154" t="s">
        <v>1781</v>
      </c>
      <c r="AR1393" s="26" t="s">
        <v>1095</v>
      </c>
      <c r="AS1393" s="26">
        <v>6</v>
      </c>
      <c r="AT1393" s="26">
        <v>6</v>
      </c>
      <c r="AU1393" s="26" t="s">
        <v>169</v>
      </c>
      <c r="AY1393" s="26" t="s">
        <v>1317</v>
      </c>
      <c r="AZ1393" s="26" t="s">
        <v>1099</v>
      </c>
      <c r="DI1393" s="26">
        <v>16.59</v>
      </c>
      <c r="DJ1393" s="26">
        <v>25.2</v>
      </c>
      <c r="FR1393" s="26" t="s">
        <v>1107</v>
      </c>
      <c r="FT1393" s="26">
        <v>63</v>
      </c>
    </row>
    <row r="1394" spans="1:176" s="26" customFormat="1" x14ac:dyDescent="0.25">
      <c r="A1394" s="26">
        <v>63</v>
      </c>
      <c r="B1394" s="26" t="s">
        <v>1090</v>
      </c>
      <c r="C1394" s="26" t="s">
        <v>1091</v>
      </c>
      <c r="D1394" s="26">
        <v>1993</v>
      </c>
      <c r="E1394" s="26">
        <v>1989</v>
      </c>
      <c r="F1394" s="26" t="s">
        <v>342</v>
      </c>
      <c r="G1394" s="26" t="s">
        <v>1110</v>
      </c>
      <c r="H1394" s="26">
        <v>42.44</v>
      </c>
      <c r="I1394" s="26">
        <v>-76.52</v>
      </c>
      <c r="J1394" s="26">
        <v>188.1</v>
      </c>
      <c r="P1394" s="52">
        <v>1</v>
      </c>
      <c r="Q1394" s="52" t="s">
        <v>994</v>
      </c>
      <c r="R1394" s="52" t="s">
        <v>1093</v>
      </c>
      <c r="S1394" s="52" t="s">
        <v>1570</v>
      </c>
      <c r="T1394" s="52" t="s">
        <v>1570</v>
      </c>
      <c r="U1394" s="52" t="s">
        <v>1570</v>
      </c>
      <c r="V1394" s="52" t="s">
        <v>1910</v>
      </c>
      <c r="Z1394" s="26" t="s">
        <v>531</v>
      </c>
      <c r="AD1394" s="26" t="s">
        <v>1512</v>
      </c>
      <c r="AE1394" s="26" t="s">
        <v>281</v>
      </c>
      <c r="AF1394" s="152" t="s">
        <v>666</v>
      </c>
      <c r="AG1394" s="26" t="s">
        <v>1781</v>
      </c>
      <c r="AH1394" s="154" t="s">
        <v>1781</v>
      </c>
      <c r="AR1394" s="26" t="s">
        <v>1095</v>
      </c>
      <c r="AS1394" s="26">
        <v>6</v>
      </c>
      <c r="AT1394" s="26">
        <v>6</v>
      </c>
      <c r="AU1394" s="26" t="s">
        <v>169</v>
      </c>
      <c r="AY1394" s="26" t="s">
        <v>1317</v>
      </c>
      <c r="AZ1394" s="26" t="s">
        <v>1100</v>
      </c>
      <c r="DI1394" s="26">
        <v>24.38</v>
      </c>
      <c r="DJ1394" s="26">
        <v>25.3</v>
      </c>
      <c r="FR1394" s="26" t="s">
        <v>1107</v>
      </c>
      <c r="FT1394" s="26">
        <v>63</v>
      </c>
    </row>
    <row r="1395" spans="1:176" s="26" customFormat="1" x14ac:dyDescent="0.25">
      <c r="A1395" s="26">
        <v>63</v>
      </c>
      <c r="B1395" s="26" t="s">
        <v>1090</v>
      </c>
      <c r="C1395" s="26" t="s">
        <v>1091</v>
      </c>
      <c r="D1395" s="26">
        <v>1993</v>
      </c>
      <c r="E1395" s="26">
        <v>1989</v>
      </c>
      <c r="F1395" s="26" t="s">
        <v>342</v>
      </c>
      <c r="G1395" s="26" t="s">
        <v>1110</v>
      </c>
      <c r="H1395" s="26">
        <v>42.44</v>
      </c>
      <c r="I1395" s="26">
        <v>-76.52</v>
      </c>
      <c r="J1395" s="26">
        <v>188.1</v>
      </c>
      <c r="P1395" s="52">
        <v>1</v>
      </c>
      <c r="Q1395" s="52" t="s">
        <v>994</v>
      </c>
      <c r="R1395" s="52" t="s">
        <v>1093</v>
      </c>
      <c r="S1395" s="52" t="s">
        <v>1570</v>
      </c>
      <c r="T1395" s="52" t="s">
        <v>1570</v>
      </c>
      <c r="U1395" s="52" t="s">
        <v>1570</v>
      </c>
      <c r="V1395" s="52" t="s">
        <v>1910</v>
      </c>
      <c r="Z1395" s="26" t="s">
        <v>531</v>
      </c>
      <c r="AD1395" s="26" t="s">
        <v>1512</v>
      </c>
      <c r="AE1395" s="26" t="s">
        <v>281</v>
      </c>
      <c r="AF1395" s="152" t="s">
        <v>666</v>
      </c>
      <c r="AG1395" s="26" t="s">
        <v>1781</v>
      </c>
      <c r="AH1395" s="154" t="s">
        <v>1781</v>
      </c>
      <c r="AR1395" s="26" t="s">
        <v>1095</v>
      </c>
      <c r="AS1395" s="26">
        <v>6</v>
      </c>
      <c r="AT1395" s="26">
        <v>6</v>
      </c>
      <c r="AU1395" s="26" t="s">
        <v>169</v>
      </c>
      <c r="AY1395" s="26" t="s">
        <v>1317</v>
      </c>
      <c r="AZ1395" s="26" t="s">
        <v>1101</v>
      </c>
      <c r="DI1395" s="26">
        <v>20.39</v>
      </c>
      <c r="DJ1395" s="26">
        <v>25.29</v>
      </c>
      <c r="FR1395" s="26" t="s">
        <v>1107</v>
      </c>
      <c r="FT1395" s="26">
        <v>63</v>
      </c>
    </row>
    <row r="1396" spans="1:176" s="26" customFormat="1" x14ac:dyDescent="0.25">
      <c r="A1396" s="26">
        <v>63</v>
      </c>
      <c r="B1396" s="26" t="s">
        <v>1090</v>
      </c>
      <c r="C1396" s="26" t="s">
        <v>1091</v>
      </c>
      <c r="D1396" s="26">
        <v>1993</v>
      </c>
      <c r="E1396" s="26">
        <v>1989</v>
      </c>
      <c r="F1396" s="26" t="s">
        <v>342</v>
      </c>
      <c r="G1396" s="26" t="s">
        <v>1110</v>
      </c>
      <c r="H1396" s="26">
        <v>42.44</v>
      </c>
      <c r="I1396" s="26">
        <v>-76.52</v>
      </c>
      <c r="J1396" s="26">
        <v>188.1</v>
      </c>
      <c r="P1396" s="52">
        <v>1</v>
      </c>
      <c r="Q1396" s="52" t="s">
        <v>994</v>
      </c>
      <c r="R1396" s="52" t="s">
        <v>1093</v>
      </c>
      <c r="S1396" s="52" t="s">
        <v>1570</v>
      </c>
      <c r="T1396" s="52" t="s">
        <v>1570</v>
      </c>
      <c r="U1396" s="52" t="s">
        <v>1570</v>
      </c>
      <c r="V1396" s="52" t="s">
        <v>1910</v>
      </c>
      <c r="Z1396" s="26" t="s">
        <v>531</v>
      </c>
      <c r="AD1396" s="26" t="s">
        <v>1512</v>
      </c>
      <c r="AE1396" s="26" t="s">
        <v>281</v>
      </c>
      <c r="AF1396" s="152" t="s">
        <v>666</v>
      </c>
      <c r="AG1396" s="26" t="s">
        <v>1781</v>
      </c>
      <c r="AH1396" s="154" t="s">
        <v>1781</v>
      </c>
      <c r="AR1396" s="26" t="s">
        <v>1095</v>
      </c>
      <c r="AS1396" s="26">
        <v>6</v>
      </c>
      <c r="AT1396" s="26">
        <v>6</v>
      </c>
      <c r="AU1396" s="26" t="s">
        <v>169</v>
      </c>
      <c r="AY1396" s="26" t="s">
        <v>1317</v>
      </c>
      <c r="AZ1396" s="26" t="s">
        <v>1102</v>
      </c>
      <c r="DI1396" s="26">
        <v>16.23</v>
      </c>
      <c r="DJ1396" s="26">
        <v>25.29</v>
      </c>
      <c r="FR1396" s="26" t="s">
        <v>1107</v>
      </c>
      <c r="FT1396" s="26">
        <v>63</v>
      </c>
    </row>
    <row r="1397" spans="1:176" s="26" customFormat="1" x14ac:dyDescent="0.25">
      <c r="A1397" s="26">
        <v>63</v>
      </c>
      <c r="B1397" s="26" t="s">
        <v>1090</v>
      </c>
      <c r="C1397" s="26" t="s">
        <v>1091</v>
      </c>
      <c r="D1397" s="26">
        <v>1993</v>
      </c>
      <c r="E1397" s="26">
        <v>1989</v>
      </c>
      <c r="F1397" s="26" t="s">
        <v>342</v>
      </c>
      <c r="G1397" s="26" t="s">
        <v>1110</v>
      </c>
      <c r="H1397" s="26">
        <v>42.44</v>
      </c>
      <c r="I1397" s="26">
        <v>-76.52</v>
      </c>
      <c r="J1397" s="26">
        <v>188.1</v>
      </c>
      <c r="P1397" s="52">
        <v>1</v>
      </c>
      <c r="Q1397" s="52" t="s">
        <v>994</v>
      </c>
      <c r="R1397" s="52" t="s">
        <v>1093</v>
      </c>
      <c r="S1397" s="52" t="s">
        <v>1570</v>
      </c>
      <c r="T1397" s="52" t="s">
        <v>1570</v>
      </c>
      <c r="U1397" s="52" t="s">
        <v>1570</v>
      </c>
      <c r="V1397" s="52" t="s">
        <v>1910</v>
      </c>
      <c r="Z1397" s="26" t="s">
        <v>531</v>
      </c>
      <c r="AD1397" s="26" t="s">
        <v>1512</v>
      </c>
      <c r="AE1397" s="26" t="s">
        <v>281</v>
      </c>
      <c r="AF1397" s="152" t="s">
        <v>666</v>
      </c>
      <c r="AG1397" s="26" t="s">
        <v>1781</v>
      </c>
      <c r="AH1397" s="154" t="s">
        <v>1781</v>
      </c>
      <c r="AR1397" s="26" t="s">
        <v>1095</v>
      </c>
      <c r="AS1397" s="26">
        <v>6</v>
      </c>
      <c r="AT1397" s="26">
        <v>6</v>
      </c>
      <c r="AU1397" s="26" t="s">
        <v>169</v>
      </c>
      <c r="AY1397" s="26" t="s">
        <v>1317</v>
      </c>
      <c r="AZ1397" s="26" t="s">
        <v>1103</v>
      </c>
      <c r="DI1397" s="26">
        <v>25.65</v>
      </c>
      <c r="DJ1397" s="26">
        <v>25.65</v>
      </c>
      <c r="FR1397" s="26" t="s">
        <v>1107</v>
      </c>
      <c r="FT1397" s="26">
        <v>63</v>
      </c>
    </row>
    <row r="1398" spans="1:176" s="26" customFormat="1" x14ac:dyDescent="0.25">
      <c r="A1398" s="26">
        <v>63</v>
      </c>
      <c r="B1398" s="26" t="s">
        <v>1090</v>
      </c>
      <c r="C1398" s="26" t="s">
        <v>1091</v>
      </c>
      <c r="D1398" s="26">
        <v>1993</v>
      </c>
      <c r="E1398" s="26">
        <v>1989</v>
      </c>
      <c r="F1398" s="26" t="s">
        <v>342</v>
      </c>
      <c r="G1398" s="26" t="s">
        <v>1110</v>
      </c>
      <c r="H1398" s="26">
        <v>42.44</v>
      </c>
      <c r="I1398" s="26">
        <v>-76.52</v>
      </c>
      <c r="J1398" s="26">
        <v>188.1</v>
      </c>
      <c r="P1398" s="52">
        <v>1</v>
      </c>
      <c r="Q1398" s="52" t="s">
        <v>994</v>
      </c>
      <c r="R1398" s="52" t="s">
        <v>1093</v>
      </c>
      <c r="S1398" s="52" t="s">
        <v>1570</v>
      </c>
      <c r="T1398" s="52" t="s">
        <v>1570</v>
      </c>
      <c r="U1398" s="52" t="s">
        <v>1570</v>
      </c>
      <c r="V1398" s="52" t="s">
        <v>1910</v>
      </c>
      <c r="Z1398" s="26" t="s">
        <v>531</v>
      </c>
      <c r="AD1398" s="26" t="s">
        <v>1512</v>
      </c>
      <c r="AE1398" s="26" t="s">
        <v>281</v>
      </c>
      <c r="AF1398" s="152" t="s">
        <v>666</v>
      </c>
      <c r="AG1398" s="26" t="s">
        <v>1781</v>
      </c>
      <c r="AH1398" s="154" t="s">
        <v>1781</v>
      </c>
      <c r="AR1398" s="26" t="s">
        <v>1095</v>
      </c>
      <c r="AS1398" s="26">
        <v>6</v>
      </c>
      <c r="AT1398" s="26">
        <v>6</v>
      </c>
      <c r="AU1398" s="26" t="s">
        <v>169</v>
      </c>
      <c r="AY1398" s="26" t="s">
        <v>1317</v>
      </c>
      <c r="AZ1398" s="26" t="s">
        <v>1104</v>
      </c>
      <c r="DI1398" s="26">
        <v>18.41</v>
      </c>
      <c r="DJ1398" s="26">
        <v>25.11</v>
      </c>
      <c r="FR1398" s="26" t="s">
        <v>1107</v>
      </c>
      <c r="FT1398" s="26">
        <v>63</v>
      </c>
    </row>
    <row r="1399" spans="1:176" s="26" customFormat="1" x14ac:dyDescent="0.25">
      <c r="A1399" s="26">
        <v>63</v>
      </c>
      <c r="B1399" s="26" t="s">
        <v>1090</v>
      </c>
      <c r="C1399" s="26" t="s">
        <v>1091</v>
      </c>
      <c r="D1399" s="26">
        <v>1993</v>
      </c>
      <c r="E1399" s="26">
        <v>1989</v>
      </c>
      <c r="F1399" s="26" t="s">
        <v>342</v>
      </c>
      <c r="G1399" s="26" t="s">
        <v>1110</v>
      </c>
      <c r="H1399" s="26">
        <v>42.44</v>
      </c>
      <c r="I1399" s="26">
        <v>-76.52</v>
      </c>
      <c r="J1399" s="26">
        <v>188.1</v>
      </c>
      <c r="P1399" s="52">
        <v>1</v>
      </c>
      <c r="Q1399" s="52" t="s">
        <v>994</v>
      </c>
      <c r="R1399" s="52" t="s">
        <v>1093</v>
      </c>
      <c r="S1399" s="52" t="s">
        <v>1570</v>
      </c>
      <c r="T1399" s="52" t="s">
        <v>1570</v>
      </c>
      <c r="U1399" s="52" t="s">
        <v>1570</v>
      </c>
      <c r="V1399" s="52" t="s">
        <v>1910</v>
      </c>
      <c r="Z1399" s="26" t="s">
        <v>531</v>
      </c>
      <c r="AD1399" s="26" t="s">
        <v>1512</v>
      </c>
      <c r="AE1399" s="26" t="s">
        <v>281</v>
      </c>
      <c r="AF1399" s="152" t="s">
        <v>666</v>
      </c>
      <c r="AG1399" s="26" t="s">
        <v>1781</v>
      </c>
      <c r="AH1399" s="154" t="s">
        <v>1781</v>
      </c>
      <c r="AR1399" s="26" t="s">
        <v>1095</v>
      </c>
      <c r="AS1399" s="26">
        <v>6</v>
      </c>
      <c r="AT1399" s="26">
        <v>6</v>
      </c>
      <c r="AU1399" s="26" t="s">
        <v>169</v>
      </c>
      <c r="AY1399" s="26" t="s">
        <v>1317</v>
      </c>
      <c r="AZ1399" s="26" t="s">
        <v>1105</v>
      </c>
      <c r="DI1399" s="26">
        <v>16.059999999999999</v>
      </c>
      <c r="DJ1399" s="26">
        <v>25.1</v>
      </c>
      <c r="FR1399" s="26" t="s">
        <v>1107</v>
      </c>
      <c r="FT1399" s="26">
        <v>63</v>
      </c>
    </row>
    <row r="1400" spans="1:176" s="26" customFormat="1" x14ac:dyDescent="0.25">
      <c r="A1400" s="26">
        <v>63</v>
      </c>
      <c r="B1400" s="26" t="s">
        <v>1090</v>
      </c>
      <c r="C1400" s="26" t="s">
        <v>1091</v>
      </c>
      <c r="D1400" s="26">
        <v>1993</v>
      </c>
      <c r="E1400" s="26">
        <v>1989</v>
      </c>
      <c r="F1400" s="26" t="s">
        <v>342</v>
      </c>
      <c r="G1400" s="26" t="s">
        <v>1110</v>
      </c>
      <c r="H1400" s="26">
        <v>42.44</v>
      </c>
      <c r="I1400" s="26">
        <v>-76.52</v>
      </c>
      <c r="J1400" s="26">
        <v>188.1</v>
      </c>
      <c r="P1400" s="52">
        <v>1</v>
      </c>
      <c r="Q1400" s="52" t="s">
        <v>994</v>
      </c>
      <c r="R1400" s="52" t="s">
        <v>1093</v>
      </c>
      <c r="S1400" s="52" t="s">
        <v>1570</v>
      </c>
      <c r="T1400" s="52" t="s">
        <v>1570</v>
      </c>
      <c r="U1400" s="52" t="s">
        <v>1570</v>
      </c>
      <c r="V1400" s="52" t="s">
        <v>1910</v>
      </c>
      <c r="Z1400" s="26" t="s">
        <v>531</v>
      </c>
      <c r="AD1400" s="26" t="s">
        <v>1512</v>
      </c>
      <c r="AE1400" s="26" t="s">
        <v>281</v>
      </c>
      <c r="AF1400" s="152" t="s">
        <v>666</v>
      </c>
      <c r="AG1400" s="26" t="s">
        <v>1781</v>
      </c>
      <c r="AH1400" s="154" t="s">
        <v>1781</v>
      </c>
      <c r="AR1400" s="26" t="s">
        <v>1095</v>
      </c>
      <c r="AS1400" s="26">
        <v>6</v>
      </c>
      <c r="AT1400" s="26">
        <v>6</v>
      </c>
      <c r="AU1400" s="26" t="s">
        <v>169</v>
      </c>
      <c r="AY1400" s="26" t="s">
        <v>1317</v>
      </c>
      <c r="AZ1400" s="26" t="s">
        <v>1106</v>
      </c>
      <c r="DI1400" s="26">
        <v>25.48</v>
      </c>
      <c r="DJ1400" s="26">
        <v>25.48</v>
      </c>
      <c r="FR1400" s="26" t="s">
        <v>1107</v>
      </c>
      <c r="FT1400" s="26">
        <v>63</v>
      </c>
    </row>
    <row r="1401" spans="1:176" s="35" customFormat="1" x14ac:dyDescent="0.25">
      <c r="A1401" s="35">
        <v>63</v>
      </c>
      <c r="B1401" s="35" t="s">
        <v>1090</v>
      </c>
      <c r="C1401" s="35" t="s">
        <v>1091</v>
      </c>
      <c r="D1401" s="35">
        <v>1993</v>
      </c>
      <c r="E1401" s="35">
        <v>1989</v>
      </c>
      <c r="F1401" s="35" t="s">
        <v>342</v>
      </c>
      <c r="G1401" s="35" t="s">
        <v>1110</v>
      </c>
      <c r="H1401" s="35">
        <v>42.44</v>
      </c>
      <c r="I1401" s="35">
        <v>-76.52</v>
      </c>
      <c r="J1401" s="35">
        <v>188.1</v>
      </c>
      <c r="P1401" s="54">
        <v>1</v>
      </c>
      <c r="Q1401" s="54" t="s">
        <v>994</v>
      </c>
      <c r="R1401" s="54" t="s">
        <v>1093</v>
      </c>
      <c r="S1401" s="54" t="s">
        <v>1570</v>
      </c>
      <c r="T1401" s="54" t="s">
        <v>1570</v>
      </c>
      <c r="U1401" s="54" t="s">
        <v>1570</v>
      </c>
      <c r="V1401" s="54" t="s">
        <v>1910</v>
      </c>
      <c r="Z1401" s="35" t="s">
        <v>531</v>
      </c>
      <c r="AD1401" s="35" t="s">
        <v>1512</v>
      </c>
      <c r="AE1401" s="35" t="s">
        <v>159</v>
      </c>
      <c r="AF1401" s="152" t="s">
        <v>159</v>
      </c>
      <c r="AG1401" s="35" t="s">
        <v>1781</v>
      </c>
      <c r="AH1401" s="154" t="s">
        <v>1781</v>
      </c>
      <c r="AR1401" s="35" t="s">
        <v>1095</v>
      </c>
      <c r="AS1401" s="35">
        <v>6</v>
      </c>
      <c r="AT1401" s="35">
        <v>6</v>
      </c>
      <c r="AU1401" s="35" t="s">
        <v>169</v>
      </c>
      <c r="AY1401" s="35" t="s">
        <v>1317</v>
      </c>
      <c r="AZ1401" s="35" t="s">
        <v>1096</v>
      </c>
      <c r="DI1401" s="35">
        <v>21.14</v>
      </c>
      <c r="DJ1401" s="35">
        <v>25.65</v>
      </c>
      <c r="FR1401" s="35" t="s">
        <v>1107</v>
      </c>
      <c r="FT1401" s="35">
        <v>63</v>
      </c>
    </row>
    <row r="1402" spans="1:176" s="35" customFormat="1" x14ac:dyDescent="0.25">
      <c r="A1402" s="35">
        <v>63</v>
      </c>
      <c r="B1402" s="35" t="s">
        <v>1090</v>
      </c>
      <c r="C1402" s="35" t="s">
        <v>1091</v>
      </c>
      <c r="D1402" s="35">
        <v>1993</v>
      </c>
      <c r="E1402" s="35">
        <v>1989</v>
      </c>
      <c r="F1402" s="35" t="s">
        <v>342</v>
      </c>
      <c r="G1402" s="35" t="s">
        <v>1110</v>
      </c>
      <c r="H1402" s="35">
        <v>42.44</v>
      </c>
      <c r="I1402" s="35">
        <v>-76.52</v>
      </c>
      <c r="J1402" s="35">
        <v>188.1</v>
      </c>
      <c r="P1402" s="54">
        <v>1</v>
      </c>
      <c r="Q1402" s="54" t="s">
        <v>994</v>
      </c>
      <c r="R1402" s="54" t="s">
        <v>1093</v>
      </c>
      <c r="S1402" s="54" t="s">
        <v>1570</v>
      </c>
      <c r="T1402" s="54" t="s">
        <v>1570</v>
      </c>
      <c r="U1402" s="54" t="s">
        <v>1570</v>
      </c>
      <c r="V1402" s="54" t="s">
        <v>1910</v>
      </c>
      <c r="Z1402" s="35" t="s">
        <v>531</v>
      </c>
      <c r="AD1402" s="35" t="s">
        <v>1512</v>
      </c>
      <c r="AE1402" s="35" t="s">
        <v>159</v>
      </c>
      <c r="AF1402" s="152" t="s">
        <v>159</v>
      </c>
      <c r="AG1402" s="35" t="s">
        <v>1781</v>
      </c>
      <c r="AH1402" s="154" t="s">
        <v>1781</v>
      </c>
      <c r="AR1402" s="35" t="s">
        <v>1095</v>
      </c>
      <c r="AS1402" s="35">
        <v>6</v>
      </c>
      <c r="AT1402" s="35">
        <v>6</v>
      </c>
      <c r="AU1402" s="35" t="s">
        <v>169</v>
      </c>
      <c r="AY1402" s="35" t="s">
        <v>1317</v>
      </c>
      <c r="AZ1402" s="35" t="s">
        <v>1097</v>
      </c>
      <c r="DI1402" s="35">
        <v>24.63</v>
      </c>
      <c r="DJ1402" s="35">
        <v>25.6</v>
      </c>
      <c r="FR1402" s="35" t="s">
        <v>1107</v>
      </c>
      <c r="FT1402" s="35">
        <v>63</v>
      </c>
    </row>
    <row r="1403" spans="1:176" s="35" customFormat="1" x14ac:dyDescent="0.25">
      <c r="A1403" s="35">
        <v>63</v>
      </c>
      <c r="B1403" s="35" t="s">
        <v>1090</v>
      </c>
      <c r="C1403" s="35" t="s">
        <v>1091</v>
      </c>
      <c r="D1403" s="35">
        <v>1993</v>
      </c>
      <c r="E1403" s="35">
        <v>1989</v>
      </c>
      <c r="F1403" s="35" t="s">
        <v>342</v>
      </c>
      <c r="G1403" s="35" t="s">
        <v>1110</v>
      </c>
      <c r="H1403" s="35">
        <v>42.44</v>
      </c>
      <c r="I1403" s="35">
        <v>-76.52</v>
      </c>
      <c r="J1403" s="35">
        <v>188.1</v>
      </c>
      <c r="P1403" s="54">
        <v>1</v>
      </c>
      <c r="Q1403" s="54" t="s">
        <v>994</v>
      </c>
      <c r="R1403" s="54" t="s">
        <v>1093</v>
      </c>
      <c r="S1403" s="54" t="s">
        <v>1570</v>
      </c>
      <c r="T1403" s="54" t="s">
        <v>1570</v>
      </c>
      <c r="U1403" s="54" t="s">
        <v>1570</v>
      </c>
      <c r="V1403" s="54" t="s">
        <v>1910</v>
      </c>
      <c r="Z1403" s="35" t="s">
        <v>531</v>
      </c>
      <c r="AD1403" s="35" t="s">
        <v>1512</v>
      </c>
      <c r="AE1403" s="35" t="s">
        <v>159</v>
      </c>
      <c r="AF1403" s="152" t="s">
        <v>159</v>
      </c>
      <c r="AG1403" s="35" t="s">
        <v>1781</v>
      </c>
      <c r="AH1403" s="154" t="s">
        <v>1781</v>
      </c>
      <c r="AR1403" s="35" t="s">
        <v>1095</v>
      </c>
      <c r="AS1403" s="35">
        <v>6</v>
      </c>
      <c r="AT1403" s="35">
        <v>6</v>
      </c>
      <c r="AU1403" s="35" t="s">
        <v>169</v>
      </c>
      <c r="AY1403" s="35" t="s">
        <v>1317</v>
      </c>
      <c r="AZ1403" s="35" t="s">
        <v>1098</v>
      </c>
      <c r="DI1403" s="35">
        <v>23.83</v>
      </c>
      <c r="DJ1403" s="35">
        <v>25.68</v>
      </c>
      <c r="FR1403" s="35" t="s">
        <v>1107</v>
      </c>
      <c r="FT1403" s="35">
        <v>63</v>
      </c>
    </row>
    <row r="1404" spans="1:176" s="35" customFormat="1" x14ac:dyDescent="0.25">
      <c r="A1404" s="35">
        <v>63</v>
      </c>
      <c r="B1404" s="35" t="s">
        <v>1090</v>
      </c>
      <c r="C1404" s="35" t="s">
        <v>1091</v>
      </c>
      <c r="D1404" s="35">
        <v>1993</v>
      </c>
      <c r="E1404" s="35">
        <v>1989</v>
      </c>
      <c r="F1404" s="35" t="s">
        <v>342</v>
      </c>
      <c r="G1404" s="35" t="s">
        <v>1110</v>
      </c>
      <c r="H1404" s="35">
        <v>42.44</v>
      </c>
      <c r="I1404" s="35">
        <v>-76.52</v>
      </c>
      <c r="J1404" s="35">
        <v>188.1</v>
      </c>
      <c r="P1404" s="54">
        <v>1</v>
      </c>
      <c r="Q1404" s="54" t="s">
        <v>994</v>
      </c>
      <c r="R1404" s="54" t="s">
        <v>1093</v>
      </c>
      <c r="S1404" s="54" t="s">
        <v>1570</v>
      </c>
      <c r="T1404" s="54" t="s">
        <v>1570</v>
      </c>
      <c r="U1404" s="54" t="s">
        <v>1570</v>
      </c>
      <c r="V1404" s="54" t="s">
        <v>1910</v>
      </c>
      <c r="Z1404" s="35" t="s">
        <v>531</v>
      </c>
      <c r="AD1404" s="35" t="s">
        <v>1512</v>
      </c>
      <c r="AE1404" s="35" t="s">
        <v>159</v>
      </c>
      <c r="AF1404" s="152" t="s">
        <v>159</v>
      </c>
      <c r="AG1404" s="35" t="s">
        <v>1781</v>
      </c>
      <c r="AH1404" s="154" t="s">
        <v>1781</v>
      </c>
      <c r="AR1404" s="35" t="s">
        <v>1095</v>
      </c>
      <c r="AS1404" s="35">
        <v>6</v>
      </c>
      <c r="AT1404" s="35">
        <v>6</v>
      </c>
      <c r="AU1404" s="35" t="s">
        <v>169</v>
      </c>
      <c r="AY1404" s="35" t="s">
        <v>1317</v>
      </c>
      <c r="AZ1404" s="35" t="s">
        <v>1099</v>
      </c>
      <c r="DI1404" s="35">
        <v>17.64</v>
      </c>
      <c r="DJ1404" s="35">
        <v>25.77</v>
      </c>
      <c r="FR1404" s="35" t="s">
        <v>1107</v>
      </c>
      <c r="FT1404" s="35">
        <v>63</v>
      </c>
    </row>
    <row r="1405" spans="1:176" s="35" customFormat="1" x14ac:dyDescent="0.25">
      <c r="A1405" s="35">
        <v>63</v>
      </c>
      <c r="B1405" s="35" t="s">
        <v>1090</v>
      </c>
      <c r="C1405" s="35" t="s">
        <v>1091</v>
      </c>
      <c r="D1405" s="35">
        <v>1993</v>
      </c>
      <c r="E1405" s="35">
        <v>1989</v>
      </c>
      <c r="F1405" s="35" t="s">
        <v>342</v>
      </c>
      <c r="G1405" s="35" t="s">
        <v>1110</v>
      </c>
      <c r="H1405" s="35">
        <v>42.44</v>
      </c>
      <c r="I1405" s="35">
        <v>-76.52</v>
      </c>
      <c r="J1405" s="35">
        <v>188.1</v>
      </c>
      <c r="P1405" s="54">
        <v>1</v>
      </c>
      <c r="Q1405" s="54" t="s">
        <v>994</v>
      </c>
      <c r="R1405" s="54" t="s">
        <v>1093</v>
      </c>
      <c r="S1405" s="54" t="s">
        <v>1570</v>
      </c>
      <c r="T1405" s="54" t="s">
        <v>1570</v>
      </c>
      <c r="U1405" s="54" t="s">
        <v>1570</v>
      </c>
      <c r="V1405" s="54" t="s">
        <v>1910</v>
      </c>
      <c r="Z1405" s="35" t="s">
        <v>531</v>
      </c>
      <c r="AD1405" s="35" t="s">
        <v>1512</v>
      </c>
      <c r="AE1405" s="35" t="s">
        <v>159</v>
      </c>
      <c r="AF1405" s="152" t="s">
        <v>159</v>
      </c>
      <c r="AG1405" s="35" t="s">
        <v>1781</v>
      </c>
      <c r="AH1405" s="154" t="s">
        <v>1781</v>
      </c>
      <c r="AR1405" s="35" t="s">
        <v>1095</v>
      </c>
      <c r="AS1405" s="35">
        <v>6</v>
      </c>
      <c r="AT1405" s="35">
        <v>6</v>
      </c>
      <c r="AU1405" s="35" t="s">
        <v>169</v>
      </c>
      <c r="AY1405" s="35" t="s">
        <v>1317</v>
      </c>
      <c r="AZ1405" s="35" t="s">
        <v>1100</v>
      </c>
      <c r="DI1405" s="35">
        <v>25.5</v>
      </c>
      <c r="DJ1405" s="35">
        <v>25.5</v>
      </c>
      <c r="FR1405" s="35" t="s">
        <v>1107</v>
      </c>
      <c r="FT1405" s="35">
        <v>63</v>
      </c>
    </row>
    <row r="1406" spans="1:176" s="35" customFormat="1" x14ac:dyDescent="0.25">
      <c r="A1406" s="35">
        <v>63</v>
      </c>
      <c r="B1406" s="35" t="s">
        <v>1090</v>
      </c>
      <c r="C1406" s="35" t="s">
        <v>1091</v>
      </c>
      <c r="D1406" s="35">
        <v>1993</v>
      </c>
      <c r="E1406" s="35">
        <v>1989</v>
      </c>
      <c r="F1406" s="35" t="s">
        <v>342</v>
      </c>
      <c r="G1406" s="35" t="s">
        <v>1110</v>
      </c>
      <c r="H1406" s="35">
        <v>42.44</v>
      </c>
      <c r="I1406" s="35">
        <v>-76.52</v>
      </c>
      <c r="J1406" s="35">
        <v>188.1</v>
      </c>
      <c r="P1406" s="54">
        <v>1</v>
      </c>
      <c r="Q1406" s="54" t="s">
        <v>994</v>
      </c>
      <c r="R1406" s="54" t="s">
        <v>1093</v>
      </c>
      <c r="S1406" s="54" t="s">
        <v>1570</v>
      </c>
      <c r="T1406" s="54" t="s">
        <v>1570</v>
      </c>
      <c r="U1406" s="54" t="s">
        <v>1570</v>
      </c>
      <c r="V1406" s="54" t="s">
        <v>1910</v>
      </c>
      <c r="Z1406" s="35" t="s">
        <v>531</v>
      </c>
      <c r="AD1406" s="35" t="s">
        <v>1512</v>
      </c>
      <c r="AE1406" s="35" t="s">
        <v>159</v>
      </c>
      <c r="AF1406" s="152" t="s">
        <v>159</v>
      </c>
      <c r="AG1406" s="35" t="s">
        <v>1781</v>
      </c>
      <c r="AH1406" s="154" t="s">
        <v>1781</v>
      </c>
      <c r="AR1406" s="35" t="s">
        <v>1095</v>
      </c>
      <c r="AS1406" s="35">
        <v>6</v>
      </c>
      <c r="AT1406" s="35">
        <v>6</v>
      </c>
      <c r="AU1406" s="35" t="s">
        <v>169</v>
      </c>
      <c r="AY1406" s="35" t="s">
        <v>1317</v>
      </c>
      <c r="AZ1406" s="35" t="s">
        <v>1101</v>
      </c>
      <c r="DI1406" s="35">
        <v>22.23</v>
      </c>
      <c r="DJ1406" s="35">
        <v>25.5</v>
      </c>
      <c r="FR1406" s="35" t="s">
        <v>1107</v>
      </c>
      <c r="FT1406" s="35">
        <v>63</v>
      </c>
    </row>
    <row r="1407" spans="1:176" s="35" customFormat="1" x14ac:dyDescent="0.25">
      <c r="A1407" s="35">
        <v>63</v>
      </c>
      <c r="B1407" s="35" t="s">
        <v>1090</v>
      </c>
      <c r="C1407" s="35" t="s">
        <v>1091</v>
      </c>
      <c r="D1407" s="35">
        <v>1993</v>
      </c>
      <c r="E1407" s="35">
        <v>1989</v>
      </c>
      <c r="F1407" s="35" t="s">
        <v>342</v>
      </c>
      <c r="G1407" s="35" t="s">
        <v>1110</v>
      </c>
      <c r="H1407" s="35">
        <v>42.44</v>
      </c>
      <c r="I1407" s="35">
        <v>-76.52</v>
      </c>
      <c r="J1407" s="35">
        <v>188.1</v>
      </c>
      <c r="P1407" s="54">
        <v>1</v>
      </c>
      <c r="Q1407" s="54" t="s">
        <v>994</v>
      </c>
      <c r="R1407" s="54" t="s">
        <v>1093</v>
      </c>
      <c r="S1407" s="54" t="s">
        <v>1570</v>
      </c>
      <c r="T1407" s="54" t="s">
        <v>1570</v>
      </c>
      <c r="U1407" s="54" t="s">
        <v>1570</v>
      </c>
      <c r="V1407" s="54" t="s">
        <v>1910</v>
      </c>
      <c r="Z1407" s="35" t="s">
        <v>531</v>
      </c>
      <c r="AD1407" s="35" t="s">
        <v>1512</v>
      </c>
      <c r="AE1407" s="35" t="s">
        <v>159</v>
      </c>
      <c r="AF1407" s="152" t="s">
        <v>159</v>
      </c>
      <c r="AG1407" s="35" t="s">
        <v>1781</v>
      </c>
      <c r="AH1407" s="154" t="s">
        <v>1781</v>
      </c>
      <c r="AR1407" s="35" t="s">
        <v>1095</v>
      </c>
      <c r="AS1407" s="35">
        <v>6</v>
      </c>
      <c r="AT1407" s="35">
        <v>6</v>
      </c>
      <c r="AU1407" s="35" t="s">
        <v>169</v>
      </c>
      <c r="AY1407" s="35" t="s">
        <v>1317</v>
      </c>
      <c r="AZ1407" s="35" t="s">
        <v>1102</v>
      </c>
      <c r="DI1407" s="35">
        <v>17.45</v>
      </c>
      <c r="DJ1407" s="35">
        <v>25.49</v>
      </c>
      <c r="FR1407" s="35" t="s">
        <v>1107</v>
      </c>
      <c r="FT1407" s="35">
        <v>63</v>
      </c>
    </row>
    <row r="1408" spans="1:176" s="35" customFormat="1" x14ac:dyDescent="0.25">
      <c r="A1408" s="35">
        <v>63</v>
      </c>
      <c r="B1408" s="35" t="s">
        <v>1090</v>
      </c>
      <c r="C1408" s="35" t="s">
        <v>1091</v>
      </c>
      <c r="D1408" s="35">
        <v>1993</v>
      </c>
      <c r="E1408" s="35">
        <v>1989</v>
      </c>
      <c r="F1408" s="35" t="s">
        <v>342</v>
      </c>
      <c r="G1408" s="35" t="s">
        <v>1110</v>
      </c>
      <c r="H1408" s="35">
        <v>42.44</v>
      </c>
      <c r="I1408" s="35">
        <v>-76.52</v>
      </c>
      <c r="J1408" s="35">
        <v>188.1</v>
      </c>
      <c r="P1408" s="54">
        <v>1</v>
      </c>
      <c r="Q1408" s="54" t="s">
        <v>994</v>
      </c>
      <c r="R1408" s="54" t="s">
        <v>1093</v>
      </c>
      <c r="S1408" s="54" t="s">
        <v>1570</v>
      </c>
      <c r="T1408" s="54" t="s">
        <v>1570</v>
      </c>
      <c r="U1408" s="54" t="s">
        <v>1570</v>
      </c>
      <c r="V1408" s="54" t="s">
        <v>1910</v>
      </c>
      <c r="Z1408" s="35" t="s">
        <v>531</v>
      </c>
      <c r="AD1408" s="35" t="s">
        <v>1512</v>
      </c>
      <c r="AE1408" s="35" t="s">
        <v>159</v>
      </c>
      <c r="AF1408" s="152" t="s">
        <v>159</v>
      </c>
      <c r="AG1408" s="35" t="s">
        <v>1781</v>
      </c>
      <c r="AH1408" s="154" t="s">
        <v>1781</v>
      </c>
      <c r="AR1408" s="35" t="s">
        <v>1095</v>
      </c>
      <c r="AS1408" s="35">
        <v>6</v>
      </c>
      <c r="AT1408" s="35">
        <v>6</v>
      </c>
      <c r="AU1408" s="35" t="s">
        <v>169</v>
      </c>
      <c r="AY1408" s="35" t="s">
        <v>1317</v>
      </c>
      <c r="AZ1408" s="35" t="s">
        <v>1103</v>
      </c>
      <c r="DI1408" s="35">
        <v>25.83</v>
      </c>
      <c r="DJ1408" s="35">
        <v>25.83</v>
      </c>
      <c r="FR1408" s="35" t="s">
        <v>1107</v>
      </c>
      <c r="FT1408" s="35">
        <v>63</v>
      </c>
    </row>
    <row r="1409" spans="1:176" s="35" customFormat="1" x14ac:dyDescent="0.25">
      <c r="A1409" s="35">
        <v>63</v>
      </c>
      <c r="B1409" s="35" t="s">
        <v>1090</v>
      </c>
      <c r="C1409" s="35" t="s">
        <v>1091</v>
      </c>
      <c r="D1409" s="35">
        <v>1993</v>
      </c>
      <c r="E1409" s="35">
        <v>1989</v>
      </c>
      <c r="F1409" s="35" t="s">
        <v>342</v>
      </c>
      <c r="G1409" s="35" t="s">
        <v>1110</v>
      </c>
      <c r="H1409" s="35">
        <v>42.44</v>
      </c>
      <c r="I1409" s="35">
        <v>-76.52</v>
      </c>
      <c r="J1409" s="35">
        <v>188.1</v>
      </c>
      <c r="P1409" s="54">
        <v>1</v>
      </c>
      <c r="Q1409" s="54" t="s">
        <v>994</v>
      </c>
      <c r="R1409" s="54" t="s">
        <v>1093</v>
      </c>
      <c r="S1409" s="54" t="s">
        <v>1570</v>
      </c>
      <c r="T1409" s="54" t="s">
        <v>1570</v>
      </c>
      <c r="U1409" s="54" t="s">
        <v>1570</v>
      </c>
      <c r="V1409" s="54" t="s">
        <v>1910</v>
      </c>
      <c r="Z1409" s="35" t="s">
        <v>531</v>
      </c>
      <c r="AD1409" s="35" t="s">
        <v>1512</v>
      </c>
      <c r="AE1409" s="35" t="s">
        <v>159</v>
      </c>
      <c r="AF1409" s="152" t="s">
        <v>159</v>
      </c>
      <c r="AG1409" s="35" t="s">
        <v>1781</v>
      </c>
      <c r="AH1409" s="154" t="s">
        <v>1781</v>
      </c>
      <c r="AR1409" s="35" t="s">
        <v>1095</v>
      </c>
      <c r="AS1409" s="35">
        <v>6</v>
      </c>
      <c r="AT1409" s="35">
        <v>6</v>
      </c>
      <c r="AU1409" s="35" t="s">
        <v>169</v>
      </c>
      <c r="AY1409" s="35" t="s">
        <v>1317</v>
      </c>
      <c r="AZ1409" s="35" t="s">
        <v>1104</v>
      </c>
      <c r="DI1409" s="35">
        <v>19.38</v>
      </c>
      <c r="DJ1409" s="35">
        <v>25.56</v>
      </c>
      <c r="FR1409" s="35" t="s">
        <v>1107</v>
      </c>
      <c r="FT1409" s="35">
        <v>63</v>
      </c>
    </row>
    <row r="1410" spans="1:176" s="35" customFormat="1" x14ac:dyDescent="0.25">
      <c r="A1410" s="35">
        <v>63</v>
      </c>
      <c r="B1410" s="35" t="s">
        <v>1090</v>
      </c>
      <c r="C1410" s="35" t="s">
        <v>1091</v>
      </c>
      <c r="D1410" s="35">
        <v>1993</v>
      </c>
      <c r="E1410" s="35">
        <v>1989</v>
      </c>
      <c r="F1410" s="35" t="s">
        <v>342</v>
      </c>
      <c r="G1410" s="35" t="s">
        <v>1110</v>
      </c>
      <c r="H1410" s="35">
        <v>42.44</v>
      </c>
      <c r="I1410" s="35">
        <v>-76.52</v>
      </c>
      <c r="J1410" s="35">
        <v>188.1</v>
      </c>
      <c r="P1410" s="54">
        <v>1</v>
      </c>
      <c r="Q1410" s="54" t="s">
        <v>994</v>
      </c>
      <c r="R1410" s="54" t="s">
        <v>1093</v>
      </c>
      <c r="S1410" s="54" t="s">
        <v>1570</v>
      </c>
      <c r="T1410" s="54" t="s">
        <v>1570</v>
      </c>
      <c r="U1410" s="54" t="s">
        <v>1570</v>
      </c>
      <c r="V1410" s="54" t="s">
        <v>1910</v>
      </c>
      <c r="Z1410" s="35" t="s">
        <v>531</v>
      </c>
      <c r="AD1410" s="35" t="s">
        <v>1512</v>
      </c>
      <c r="AE1410" s="35" t="s">
        <v>159</v>
      </c>
      <c r="AF1410" s="152" t="s">
        <v>159</v>
      </c>
      <c r="AG1410" s="35" t="s">
        <v>1781</v>
      </c>
      <c r="AH1410" s="154" t="s">
        <v>1781</v>
      </c>
      <c r="AR1410" s="35" t="s">
        <v>1095</v>
      </c>
      <c r="AS1410" s="35">
        <v>6</v>
      </c>
      <c r="AT1410" s="35">
        <v>6</v>
      </c>
      <c r="AU1410" s="35" t="s">
        <v>169</v>
      </c>
      <c r="AY1410" s="35" t="s">
        <v>1317</v>
      </c>
      <c r="AZ1410" s="35" t="s">
        <v>1105</v>
      </c>
      <c r="DI1410" s="35">
        <v>16.72</v>
      </c>
      <c r="DJ1410" s="35">
        <v>24.76</v>
      </c>
      <c r="FR1410" s="35" t="s">
        <v>1107</v>
      </c>
      <c r="FT1410" s="35">
        <v>63</v>
      </c>
    </row>
    <row r="1411" spans="1:176" s="35" customFormat="1" x14ac:dyDescent="0.25">
      <c r="A1411" s="35">
        <v>63</v>
      </c>
      <c r="B1411" s="35" t="s">
        <v>1090</v>
      </c>
      <c r="C1411" s="35" t="s">
        <v>1091</v>
      </c>
      <c r="D1411" s="35">
        <v>1993</v>
      </c>
      <c r="E1411" s="35">
        <v>1989</v>
      </c>
      <c r="F1411" s="35" t="s">
        <v>342</v>
      </c>
      <c r="G1411" s="35" t="s">
        <v>1110</v>
      </c>
      <c r="H1411" s="35">
        <v>42.44</v>
      </c>
      <c r="I1411" s="35">
        <v>-76.52</v>
      </c>
      <c r="J1411" s="35">
        <v>188.1</v>
      </c>
      <c r="P1411" s="54">
        <v>1</v>
      </c>
      <c r="Q1411" s="54" t="s">
        <v>994</v>
      </c>
      <c r="R1411" s="54" t="s">
        <v>1093</v>
      </c>
      <c r="S1411" s="54" t="s">
        <v>1570</v>
      </c>
      <c r="T1411" s="54" t="s">
        <v>1570</v>
      </c>
      <c r="U1411" s="54" t="s">
        <v>1570</v>
      </c>
      <c r="V1411" s="54" t="s">
        <v>1910</v>
      </c>
      <c r="Z1411" s="35" t="s">
        <v>531</v>
      </c>
      <c r="AD1411" s="35" t="s">
        <v>1512</v>
      </c>
      <c r="AE1411" s="35" t="s">
        <v>159</v>
      </c>
      <c r="AF1411" s="152" t="s">
        <v>159</v>
      </c>
      <c r="AG1411" s="35" t="s">
        <v>1781</v>
      </c>
      <c r="AH1411" s="154" t="s">
        <v>1781</v>
      </c>
      <c r="AR1411" s="35" t="s">
        <v>1095</v>
      </c>
      <c r="AS1411" s="35">
        <v>6</v>
      </c>
      <c r="AT1411" s="35">
        <v>6</v>
      </c>
      <c r="AU1411" s="35" t="s">
        <v>169</v>
      </c>
      <c r="AY1411" s="35" t="s">
        <v>1317</v>
      </c>
      <c r="AZ1411" s="35" t="s">
        <v>1106</v>
      </c>
      <c r="DI1411" s="35">
        <v>25.65</v>
      </c>
      <c r="DJ1411" s="35">
        <v>25.65</v>
      </c>
      <c r="FR1411" s="35" t="s">
        <v>1107</v>
      </c>
      <c r="FT1411" s="35">
        <v>63</v>
      </c>
    </row>
    <row r="1412" spans="1:176" s="31" customFormat="1" x14ac:dyDescent="0.25">
      <c r="A1412" s="31">
        <v>64</v>
      </c>
      <c r="B1412" s="31" t="s">
        <v>1108</v>
      </c>
      <c r="C1412" s="31" t="s">
        <v>1109</v>
      </c>
      <c r="D1412" s="31">
        <v>2005</v>
      </c>
      <c r="E1412" s="31">
        <v>2001</v>
      </c>
      <c r="F1412" s="31" t="s">
        <v>371</v>
      </c>
      <c r="G1412" s="31" t="s">
        <v>1111</v>
      </c>
      <c r="H1412" s="31">
        <f t="shared" ref="H1412:H1421" si="240">32+25/60</f>
        <v>32.416666666666664</v>
      </c>
      <c r="I1412" s="31">
        <f t="shared" ref="I1412:I1421" si="241">-85-54/90</f>
        <v>-85.6</v>
      </c>
      <c r="J1412" s="31">
        <f>(69.8+70.1+68.5+69.4+69.6)/5</f>
        <v>69.47999999999999</v>
      </c>
      <c r="P1412" s="56">
        <v>1</v>
      </c>
      <c r="Q1412" s="56"/>
      <c r="R1412" s="56"/>
      <c r="S1412" s="56" t="s">
        <v>1565</v>
      </c>
      <c r="T1412" s="56" t="s">
        <v>1570</v>
      </c>
      <c r="U1412" s="56" t="s">
        <v>1565</v>
      </c>
      <c r="V1412" s="56" t="s">
        <v>1910</v>
      </c>
      <c r="W1412" s="31">
        <v>1.5</v>
      </c>
      <c r="X1412" s="31">
        <f>(519+556+573+552+533)/5/1000*100</f>
        <v>54.66</v>
      </c>
      <c r="Y1412" s="31">
        <f>100-X1412-(182+191+143+193+211)/5/1000*100</f>
        <v>26.940000000000005</v>
      </c>
      <c r="Z1412" s="31" t="s">
        <v>167</v>
      </c>
      <c r="AA1412" s="31">
        <v>6.5</v>
      </c>
      <c r="AB1412" s="31">
        <f>(26.4+23.85+24.1+20.38+24.08)/5*1/(100*100*0.3*1.5)*100</f>
        <v>0.52804444444444432</v>
      </c>
      <c r="AD1412" s="31" t="s">
        <v>1513</v>
      </c>
      <c r="AE1412" s="31" t="s">
        <v>727</v>
      </c>
      <c r="AF1412" s="152" t="s">
        <v>727</v>
      </c>
      <c r="AG1412" s="31" t="s">
        <v>160</v>
      </c>
      <c r="AH1412" s="155" t="s">
        <v>1801</v>
      </c>
      <c r="AI1412" s="31" t="s">
        <v>1116</v>
      </c>
      <c r="AJ1412" s="31" t="s">
        <v>1116</v>
      </c>
      <c r="AK1412" s="31" t="s">
        <v>212</v>
      </c>
      <c r="AL1412" s="31" t="s">
        <v>572</v>
      </c>
      <c r="AM1412" s="31" t="s">
        <v>1113</v>
      </c>
      <c r="AN1412" s="31" t="s">
        <v>587</v>
      </c>
      <c r="AO1412" s="31" t="s">
        <v>1112</v>
      </c>
      <c r="AP1412" s="31" t="s">
        <v>1112</v>
      </c>
      <c r="AQ1412" s="31" t="s">
        <v>212</v>
      </c>
      <c r="AR1412" s="31" t="s">
        <v>192</v>
      </c>
      <c r="AS1412" s="31">
        <v>6</v>
      </c>
      <c r="AT1412" s="31">
        <v>6</v>
      </c>
      <c r="AU1412" s="31" t="s">
        <v>169</v>
      </c>
      <c r="BD1412" s="31">
        <v>9520</v>
      </c>
      <c r="BE1412" s="31">
        <v>9880</v>
      </c>
      <c r="BF1412" s="31" t="s">
        <v>160</v>
      </c>
      <c r="FT1412" s="31">
        <v>64</v>
      </c>
    </row>
    <row r="1413" spans="1:176" s="31" customFormat="1" x14ac:dyDescent="0.25">
      <c r="A1413" s="31">
        <v>64</v>
      </c>
      <c r="B1413" s="31" t="s">
        <v>1108</v>
      </c>
      <c r="C1413" s="31" t="s">
        <v>1109</v>
      </c>
      <c r="D1413" s="31">
        <v>2005</v>
      </c>
      <c r="E1413" s="31">
        <v>2001</v>
      </c>
      <c r="F1413" s="31" t="s">
        <v>371</v>
      </c>
      <c r="G1413" s="31" t="s">
        <v>1111</v>
      </c>
      <c r="H1413" s="31">
        <f t="shared" si="240"/>
        <v>32.416666666666664</v>
      </c>
      <c r="I1413" s="31">
        <f t="shared" si="241"/>
        <v>-85.6</v>
      </c>
      <c r="J1413" s="31">
        <f t="shared" ref="J1413:J1416" si="242">(69.8+70.1+68.5+69.4+69.6)/5</f>
        <v>69.47999999999999</v>
      </c>
      <c r="P1413" s="56">
        <v>1</v>
      </c>
      <c r="Q1413" s="56"/>
      <c r="R1413" s="56"/>
      <c r="S1413" s="56" t="s">
        <v>1565</v>
      </c>
      <c r="T1413" s="56" t="s">
        <v>1570</v>
      </c>
      <c r="U1413" s="56" t="s">
        <v>1565</v>
      </c>
      <c r="V1413" s="56" t="s">
        <v>1910</v>
      </c>
      <c r="W1413" s="31">
        <v>1.5</v>
      </c>
      <c r="X1413" s="31">
        <f t="shared" ref="X1413:X1416" si="243">(519+556+573+552+533)/5/1000*100</f>
        <v>54.66</v>
      </c>
      <c r="Y1413" s="31">
        <f t="shared" ref="Y1413:Y1416" si="244">100-X1413-(182+191+143+193+211)/5/1000*100</f>
        <v>26.940000000000005</v>
      </c>
      <c r="Z1413" s="31" t="s">
        <v>167</v>
      </c>
      <c r="AA1413" s="31">
        <v>6.5</v>
      </c>
      <c r="AB1413" s="31">
        <f t="shared" ref="AB1413:AB1416" si="245">(26.4+23.85+24.1+20.38+24.08)/5*1/(100*100*0.3*1.5)*100</f>
        <v>0.52804444444444432</v>
      </c>
      <c r="AD1413" s="31" t="s">
        <v>1513</v>
      </c>
      <c r="AE1413" s="31" t="s">
        <v>727</v>
      </c>
      <c r="AF1413" s="152" t="s">
        <v>727</v>
      </c>
      <c r="AG1413" s="31" t="s">
        <v>673</v>
      </c>
      <c r="AH1413" s="155" t="s">
        <v>1801</v>
      </c>
      <c r="AI1413" s="31" t="s">
        <v>1116</v>
      </c>
      <c r="AJ1413" s="31" t="s">
        <v>1116</v>
      </c>
      <c r="AK1413" s="31" t="s">
        <v>212</v>
      </c>
      <c r="AL1413" s="31" t="s">
        <v>572</v>
      </c>
      <c r="AM1413" s="31" t="s">
        <v>1113</v>
      </c>
      <c r="AN1413" s="31" t="s">
        <v>587</v>
      </c>
      <c r="AO1413" s="31" t="s">
        <v>1112</v>
      </c>
      <c r="AP1413" s="31" t="s">
        <v>1112</v>
      </c>
      <c r="AQ1413" s="31" t="s">
        <v>212</v>
      </c>
      <c r="AR1413" s="31" t="s">
        <v>192</v>
      </c>
      <c r="AS1413" s="31">
        <v>6</v>
      </c>
      <c r="AT1413" s="31">
        <v>6</v>
      </c>
      <c r="AU1413" s="31" t="s">
        <v>169</v>
      </c>
      <c r="BD1413" s="31">
        <v>2760</v>
      </c>
      <c r="BE1413" s="31">
        <v>3100</v>
      </c>
      <c r="BF1413" s="31" t="s">
        <v>1118</v>
      </c>
      <c r="FT1413" s="31">
        <v>64</v>
      </c>
    </row>
    <row r="1414" spans="1:176" s="31" customFormat="1" x14ac:dyDescent="0.25">
      <c r="A1414" s="31">
        <v>64</v>
      </c>
      <c r="B1414" s="31" t="s">
        <v>1108</v>
      </c>
      <c r="C1414" s="31" t="s">
        <v>1109</v>
      </c>
      <c r="D1414" s="31">
        <v>2005</v>
      </c>
      <c r="E1414" s="31">
        <v>2002</v>
      </c>
      <c r="F1414" s="31" t="s">
        <v>371</v>
      </c>
      <c r="G1414" s="31" t="s">
        <v>1111</v>
      </c>
      <c r="H1414" s="31">
        <f t="shared" si="240"/>
        <v>32.416666666666664</v>
      </c>
      <c r="I1414" s="31">
        <f t="shared" si="241"/>
        <v>-85.6</v>
      </c>
      <c r="J1414" s="31">
        <f t="shared" si="242"/>
        <v>69.47999999999999</v>
      </c>
      <c r="P1414" s="56">
        <v>2</v>
      </c>
      <c r="Q1414" s="56"/>
      <c r="R1414" s="56"/>
      <c r="S1414" s="56" t="s">
        <v>1570</v>
      </c>
      <c r="T1414" s="56" t="s">
        <v>1570</v>
      </c>
      <c r="U1414" s="56" t="s">
        <v>1565</v>
      </c>
      <c r="V1414" s="56" t="s">
        <v>1910</v>
      </c>
      <c r="W1414" s="31">
        <v>1.5</v>
      </c>
      <c r="X1414" s="31">
        <f t="shared" si="243"/>
        <v>54.66</v>
      </c>
      <c r="Y1414" s="31">
        <f t="shared" si="244"/>
        <v>26.940000000000005</v>
      </c>
      <c r="Z1414" s="31" t="s">
        <v>167</v>
      </c>
      <c r="AA1414" s="31">
        <v>6.5</v>
      </c>
      <c r="AB1414" s="31">
        <f t="shared" si="245"/>
        <v>0.52804444444444432</v>
      </c>
      <c r="AD1414" s="31" t="s">
        <v>1513</v>
      </c>
      <c r="AE1414" s="31" t="s">
        <v>727</v>
      </c>
      <c r="AF1414" s="152" t="s">
        <v>727</v>
      </c>
      <c r="AG1414" s="31" t="s">
        <v>673</v>
      </c>
      <c r="AH1414" s="155" t="s">
        <v>1801</v>
      </c>
      <c r="AI1414" s="31" t="s">
        <v>1116</v>
      </c>
      <c r="AJ1414" s="31" t="s">
        <v>1116</v>
      </c>
      <c r="AK1414" s="31" t="s">
        <v>212</v>
      </c>
      <c r="AL1414" s="31" t="s">
        <v>572</v>
      </c>
      <c r="AM1414" s="31" t="s">
        <v>1113</v>
      </c>
      <c r="AN1414" s="31" t="s">
        <v>587</v>
      </c>
      <c r="AO1414" s="31" t="s">
        <v>1112</v>
      </c>
      <c r="AP1414" s="31" t="s">
        <v>1112</v>
      </c>
      <c r="AQ1414" s="31" t="s">
        <v>212</v>
      </c>
      <c r="AR1414" s="31" t="s">
        <v>192</v>
      </c>
      <c r="AS1414" s="31">
        <v>6</v>
      </c>
      <c r="AT1414" s="31">
        <v>6</v>
      </c>
      <c r="AU1414" s="31" t="s">
        <v>169</v>
      </c>
      <c r="BD1414" s="31">
        <v>1260</v>
      </c>
      <c r="BE1414" s="31">
        <v>1610</v>
      </c>
      <c r="BF1414" s="31" t="s">
        <v>1118</v>
      </c>
      <c r="BG1414" s="31">
        <v>1.35</v>
      </c>
      <c r="BH1414" s="31">
        <v>1.39</v>
      </c>
      <c r="BJ1414" s="31">
        <f>5.02*(1/(100*100*0.05*1.35))*100</f>
        <v>0.74370370370370364</v>
      </c>
      <c r="BK1414" s="31">
        <f>7.62*(1/(100*100*0.05*1.39))*100</f>
        <v>1.0964028776978418</v>
      </c>
      <c r="BL1414" s="31" t="s">
        <v>1857</v>
      </c>
      <c r="FT1414" s="31">
        <v>64</v>
      </c>
    </row>
    <row r="1415" spans="1:176" s="31" customFormat="1" x14ac:dyDescent="0.25">
      <c r="A1415" s="31">
        <v>64</v>
      </c>
      <c r="B1415" s="31" t="s">
        <v>1108</v>
      </c>
      <c r="C1415" s="31" t="s">
        <v>1109</v>
      </c>
      <c r="D1415" s="31">
        <v>2005</v>
      </c>
      <c r="E1415" s="31">
        <v>2002</v>
      </c>
      <c r="F1415" s="31" t="s">
        <v>371</v>
      </c>
      <c r="G1415" s="31" t="s">
        <v>1111</v>
      </c>
      <c r="H1415" s="31">
        <f t="shared" si="240"/>
        <v>32.416666666666664</v>
      </c>
      <c r="I1415" s="31">
        <f t="shared" si="241"/>
        <v>-85.6</v>
      </c>
      <c r="J1415" s="31">
        <f t="shared" si="242"/>
        <v>69.47999999999999</v>
      </c>
      <c r="P1415" s="56">
        <v>2</v>
      </c>
      <c r="Q1415" s="56"/>
      <c r="R1415" s="56"/>
      <c r="S1415" s="56" t="s">
        <v>1588</v>
      </c>
      <c r="T1415" s="56" t="s">
        <v>1570</v>
      </c>
      <c r="U1415" s="56" t="s">
        <v>1565</v>
      </c>
      <c r="V1415" s="56" t="s">
        <v>1910</v>
      </c>
      <c r="W1415" s="31">
        <v>1.5</v>
      </c>
      <c r="X1415" s="31">
        <f t="shared" si="243"/>
        <v>54.66</v>
      </c>
      <c r="Y1415" s="31">
        <f t="shared" si="244"/>
        <v>26.940000000000005</v>
      </c>
      <c r="Z1415" s="31" t="s">
        <v>167</v>
      </c>
      <c r="AA1415" s="31">
        <v>6.5</v>
      </c>
      <c r="AB1415" s="31">
        <f t="shared" si="245"/>
        <v>0.52804444444444432</v>
      </c>
      <c r="AD1415" s="31" t="s">
        <v>1513</v>
      </c>
      <c r="AE1415" s="31" t="s">
        <v>727</v>
      </c>
      <c r="AF1415" s="152" t="s">
        <v>727</v>
      </c>
      <c r="AG1415" s="31" t="s">
        <v>160</v>
      </c>
      <c r="AH1415" s="155" t="s">
        <v>1801</v>
      </c>
      <c r="AI1415" s="31" t="s">
        <v>1116</v>
      </c>
      <c r="AJ1415" s="31" t="s">
        <v>1116</v>
      </c>
      <c r="AK1415" s="31" t="s">
        <v>212</v>
      </c>
      <c r="AL1415" s="31" t="s">
        <v>572</v>
      </c>
      <c r="AM1415" s="31" t="s">
        <v>1113</v>
      </c>
      <c r="AN1415" s="31" t="s">
        <v>587</v>
      </c>
      <c r="AO1415" s="31" t="s">
        <v>1112</v>
      </c>
      <c r="AP1415" s="31" t="s">
        <v>1112</v>
      </c>
      <c r="AQ1415" s="31" t="s">
        <v>212</v>
      </c>
      <c r="AR1415" s="31" t="s">
        <v>192</v>
      </c>
      <c r="AS1415" s="31">
        <v>6</v>
      </c>
      <c r="AT1415" s="31">
        <v>6</v>
      </c>
      <c r="AU1415" s="31" t="s">
        <v>169</v>
      </c>
      <c r="BD1415" s="31">
        <v>6770</v>
      </c>
      <c r="BE1415" s="31">
        <v>8720</v>
      </c>
      <c r="BF1415" s="31" t="s">
        <v>160</v>
      </c>
      <c r="BG1415" s="31">
        <v>1.57</v>
      </c>
      <c r="BH1415" s="31">
        <v>1.62</v>
      </c>
      <c r="BJ1415" s="31">
        <f>9.61*(1/(100*100*0.1*1.57))*100</f>
        <v>0.61210191082802534</v>
      </c>
      <c r="BK1415" s="31">
        <f>9.42*(1/(100*100*0.1*1.62))*100</f>
        <v>0.58148148148148149</v>
      </c>
      <c r="BL1415" s="31" t="s">
        <v>1857</v>
      </c>
      <c r="FT1415" s="31">
        <v>64</v>
      </c>
    </row>
    <row r="1416" spans="1:176" s="31" customFormat="1" x14ac:dyDescent="0.25">
      <c r="A1416" s="31">
        <v>64</v>
      </c>
      <c r="B1416" s="31" t="s">
        <v>1108</v>
      </c>
      <c r="C1416" s="31" t="s">
        <v>1109</v>
      </c>
      <c r="D1416" s="31">
        <v>2005</v>
      </c>
      <c r="E1416" s="31">
        <v>2002</v>
      </c>
      <c r="F1416" s="31" t="s">
        <v>371</v>
      </c>
      <c r="G1416" s="31" t="s">
        <v>1111</v>
      </c>
      <c r="H1416" s="31">
        <f t="shared" si="240"/>
        <v>32.416666666666664</v>
      </c>
      <c r="I1416" s="31">
        <f t="shared" si="241"/>
        <v>-85.6</v>
      </c>
      <c r="J1416" s="31">
        <f t="shared" si="242"/>
        <v>69.47999999999999</v>
      </c>
      <c r="P1416" s="56">
        <v>2</v>
      </c>
      <c r="Q1416" s="56"/>
      <c r="R1416" s="56"/>
      <c r="S1416" s="56" t="s">
        <v>1566</v>
      </c>
      <c r="T1416" s="56" t="s">
        <v>1570</v>
      </c>
      <c r="U1416" s="56" t="s">
        <v>1565</v>
      </c>
      <c r="V1416" s="56" t="s">
        <v>1910</v>
      </c>
      <c r="W1416" s="31">
        <v>1.5</v>
      </c>
      <c r="X1416" s="31">
        <f t="shared" si="243"/>
        <v>54.66</v>
      </c>
      <c r="Y1416" s="31">
        <f t="shared" si="244"/>
        <v>26.940000000000005</v>
      </c>
      <c r="Z1416" s="31" t="s">
        <v>167</v>
      </c>
      <c r="AA1416" s="31">
        <v>6.5</v>
      </c>
      <c r="AB1416" s="31">
        <f t="shared" si="245"/>
        <v>0.52804444444444432</v>
      </c>
      <c r="AD1416" s="31" t="s">
        <v>1513</v>
      </c>
      <c r="AE1416" s="31" t="s">
        <v>727</v>
      </c>
      <c r="AF1416" s="152" t="s">
        <v>727</v>
      </c>
      <c r="AG1416" s="31" t="s">
        <v>673</v>
      </c>
      <c r="AH1416" s="155" t="s">
        <v>1801</v>
      </c>
      <c r="AI1416" s="31" t="s">
        <v>1116</v>
      </c>
      <c r="AJ1416" s="31" t="s">
        <v>1116</v>
      </c>
      <c r="AK1416" s="31" t="s">
        <v>212</v>
      </c>
      <c r="AL1416" s="31" t="s">
        <v>572</v>
      </c>
      <c r="AM1416" s="31" t="s">
        <v>1113</v>
      </c>
      <c r="AN1416" s="31" t="s">
        <v>587</v>
      </c>
      <c r="AO1416" s="31" t="s">
        <v>1112</v>
      </c>
      <c r="AP1416" s="31" t="s">
        <v>1112</v>
      </c>
      <c r="AQ1416" s="31" t="s">
        <v>212</v>
      </c>
      <c r="AR1416" s="31" t="s">
        <v>192</v>
      </c>
      <c r="AS1416" s="31">
        <v>6</v>
      </c>
      <c r="AT1416" s="31">
        <v>6</v>
      </c>
      <c r="AU1416" s="31" t="s">
        <v>169</v>
      </c>
      <c r="BG1416" s="31">
        <v>1.59</v>
      </c>
      <c r="BH1416" s="31">
        <v>1.57</v>
      </c>
      <c r="BJ1416" s="31">
        <f>8.77*(1/(100*100*0.15*1.59))*100</f>
        <v>0.36771488469601671</v>
      </c>
      <c r="BK1416" s="31">
        <f>9.08*(1/(100*100*0.15*1.57))*100</f>
        <v>0.38556263269639068</v>
      </c>
      <c r="BL1416" s="31" t="s">
        <v>1857</v>
      </c>
      <c r="FT1416" s="31">
        <v>64</v>
      </c>
    </row>
    <row r="1417" spans="1:176" s="23" customFormat="1" x14ac:dyDescent="0.25">
      <c r="A1417" s="23">
        <v>64</v>
      </c>
      <c r="B1417" s="23" t="s">
        <v>1108</v>
      </c>
      <c r="C1417" s="23" t="s">
        <v>1109</v>
      </c>
      <c r="D1417" s="23">
        <v>2005</v>
      </c>
      <c r="E1417" s="23">
        <v>2001</v>
      </c>
      <c r="F1417" s="23" t="s">
        <v>371</v>
      </c>
      <c r="G1417" s="23" t="s">
        <v>1111</v>
      </c>
      <c r="H1417" s="23">
        <f t="shared" si="240"/>
        <v>32.416666666666664</v>
      </c>
      <c r="I1417" s="23">
        <f t="shared" si="241"/>
        <v>-85.6</v>
      </c>
      <c r="J1417" s="23">
        <v>69.47999999999999</v>
      </c>
      <c r="P1417" s="53">
        <v>1</v>
      </c>
      <c r="Q1417" s="53"/>
      <c r="R1417" s="53"/>
      <c r="S1417" s="53" t="s">
        <v>1565</v>
      </c>
      <c r="T1417" s="53" t="s">
        <v>1570</v>
      </c>
      <c r="U1417" s="53" t="s">
        <v>1565</v>
      </c>
      <c r="V1417" s="53" t="s">
        <v>1910</v>
      </c>
      <c r="W1417" s="23">
        <v>1.5</v>
      </c>
      <c r="X1417" s="23">
        <v>54.66</v>
      </c>
      <c r="Y1417" s="23">
        <v>26.940000000000005</v>
      </c>
      <c r="Z1417" s="23" t="s">
        <v>167</v>
      </c>
      <c r="AA1417" s="23">
        <v>6.5</v>
      </c>
      <c r="AB1417" s="23">
        <v>0.52804444444444432</v>
      </c>
      <c r="AD1417" s="23" t="s">
        <v>1513</v>
      </c>
      <c r="AE1417" s="23" t="s">
        <v>727</v>
      </c>
      <c r="AF1417" s="152" t="s">
        <v>727</v>
      </c>
      <c r="AG1417" s="23" t="s">
        <v>160</v>
      </c>
      <c r="AH1417" s="155" t="s">
        <v>1801</v>
      </c>
      <c r="AI1417" s="23" t="s">
        <v>1116</v>
      </c>
      <c r="AJ1417" s="23" t="s">
        <v>1116</v>
      </c>
      <c r="AK1417" s="23" t="s">
        <v>212</v>
      </c>
      <c r="AL1417" s="23" t="s">
        <v>572</v>
      </c>
      <c r="AM1417" s="23" t="s">
        <v>1113</v>
      </c>
      <c r="AN1417" s="23" t="s">
        <v>587</v>
      </c>
      <c r="AO1417" s="23" t="s">
        <v>1114</v>
      </c>
      <c r="AP1417" s="23" t="s">
        <v>1117</v>
      </c>
      <c r="AQ1417" s="23" t="s">
        <v>212</v>
      </c>
      <c r="AR1417" s="23" t="s">
        <v>192</v>
      </c>
      <c r="AS1417" s="23">
        <v>6</v>
      </c>
      <c r="AT1417" s="23">
        <v>6</v>
      </c>
      <c r="AU1417" s="23" t="s">
        <v>169</v>
      </c>
      <c r="BD1417" s="23">
        <v>9990</v>
      </c>
      <c r="BE1417" s="23">
        <v>10010</v>
      </c>
      <c r="BF1417" s="23" t="s">
        <v>160</v>
      </c>
      <c r="FT1417" s="23">
        <v>64</v>
      </c>
    </row>
    <row r="1418" spans="1:176" s="23" customFormat="1" x14ac:dyDescent="0.25">
      <c r="A1418" s="23">
        <v>64</v>
      </c>
      <c r="B1418" s="23" t="s">
        <v>1108</v>
      </c>
      <c r="C1418" s="23" t="s">
        <v>1109</v>
      </c>
      <c r="D1418" s="23">
        <v>2005</v>
      </c>
      <c r="E1418" s="23">
        <v>2001</v>
      </c>
      <c r="F1418" s="23" t="s">
        <v>371</v>
      </c>
      <c r="G1418" s="23" t="s">
        <v>1111</v>
      </c>
      <c r="H1418" s="23">
        <f t="shared" si="240"/>
        <v>32.416666666666664</v>
      </c>
      <c r="I1418" s="23">
        <f t="shared" si="241"/>
        <v>-85.6</v>
      </c>
      <c r="J1418" s="23">
        <v>69.47999999999999</v>
      </c>
      <c r="P1418" s="53">
        <v>1</v>
      </c>
      <c r="Q1418" s="53"/>
      <c r="R1418" s="53"/>
      <c r="S1418" s="53" t="s">
        <v>1565</v>
      </c>
      <c r="T1418" s="53" t="s">
        <v>1570</v>
      </c>
      <c r="U1418" s="53" t="s">
        <v>1565</v>
      </c>
      <c r="V1418" s="53" t="s">
        <v>1910</v>
      </c>
      <c r="W1418" s="23">
        <v>1.5</v>
      </c>
      <c r="X1418" s="23">
        <v>54.66</v>
      </c>
      <c r="Y1418" s="23">
        <v>26.940000000000005</v>
      </c>
      <c r="Z1418" s="23" t="s">
        <v>167</v>
      </c>
      <c r="AA1418" s="23">
        <v>6.5</v>
      </c>
      <c r="AB1418" s="23">
        <v>0.52804444444444432</v>
      </c>
      <c r="AD1418" s="23" t="s">
        <v>1513</v>
      </c>
      <c r="AE1418" s="23" t="s">
        <v>727</v>
      </c>
      <c r="AF1418" s="152" t="s">
        <v>727</v>
      </c>
      <c r="AG1418" s="23" t="s">
        <v>673</v>
      </c>
      <c r="AH1418" s="155" t="s">
        <v>1801</v>
      </c>
      <c r="AI1418" s="23" t="s">
        <v>1116</v>
      </c>
      <c r="AJ1418" s="23" t="s">
        <v>1116</v>
      </c>
      <c r="AK1418" s="23" t="s">
        <v>212</v>
      </c>
      <c r="AL1418" s="23" t="s">
        <v>572</v>
      </c>
      <c r="AM1418" s="23" t="s">
        <v>1113</v>
      </c>
      <c r="AN1418" s="23" t="s">
        <v>587</v>
      </c>
      <c r="AO1418" s="23" t="s">
        <v>1114</v>
      </c>
      <c r="AP1418" s="23" t="s">
        <v>1117</v>
      </c>
      <c r="AQ1418" s="23" t="s">
        <v>212</v>
      </c>
      <c r="AR1418" s="23" t="s">
        <v>192</v>
      </c>
      <c r="AS1418" s="23">
        <v>6</v>
      </c>
      <c r="AT1418" s="23">
        <v>6</v>
      </c>
      <c r="AU1418" s="23" t="s">
        <v>169</v>
      </c>
      <c r="BD1418" s="23">
        <v>2900</v>
      </c>
      <c r="BE1418" s="23">
        <v>3140</v>
      </c>
      <c r="BF1418" s="23" t="s">
        <v>673</v>
      </c>
      <c r="FT1418" s="23">
        <v>64</v>
      </c>
    </row>
    <row r="1419" spans="1:176" s="23" customFormat="1" x14ac:dyDescent="0.25">
      <c r="A1419" s="23">
        <v>64</v>
      </c>
      <c r="B1419" s="23" t="s">
        <v>1108</v>
      </c>
      <c r="C1419" s="23" t="s">
        <v>1109</v>
      </c>
      <c r="D1419" s="23">
        <v>2005</v>
      </c>
      <c r="E1419" s="23">
        <v>2002</v>
      </c>
      <c r="F1419" s="23" t="s">
        <v>371</v>
      </c>
      <c r="G1419" s="23" t="s">
        <v>1111</v>
      </c>
      <c r="H1419" s="23">
        <f t="shared" si="240"/>
        <v>32.416666666666664</v>
      </c>
      <c r="I1419" s="23">
        <f t="shared" si="241"/>
        <v>-85.6</v>
      </c>
      <c r="J1419" s="23">
        <v>69.47999999999999</v>
      </c>
      <c r="P1419" s="53">
        <v>2</v>
      </c>
      <c r="Q1419" s="53"/>
      <c r="R1419" s="53"/>
      <c r="S1419" s="53" t="s">
        <v>1570</v>
      </c>
      <c r="T1419" s="53" t="s">
        <v>1570</v>
      </c>
      <c r="U1419" s="53" t="s">
        <v>1565</v>
      </c>
      <c r="V1419" s="53" t="s">
        <v>1910</v>
      </c>
      <c r="W1419" s="23">
        <v>1.5</v>
      </c>
      <c r="X1419" s="23">
        <v>54.66</v>
      </c>
      <c r="Y1419" s="23">
        <v>26.940000000000005</v>
      </c>
      <c r="Z1419" s="23" t="s">
        <v>167</v>
      </c>
      <c r="AA1419" s="23">
        <v>6.5</v>
      </c>
      <c r="AB1419" s="23">
        <v>0.52804444444444432</v>
      </c>
      <c r="AD1419" s="23" t="s">
        <v>1513</v>
      </c>
      <c r="AE1419" s="23" t="s">
        <v>727</v>
      </c>
      <c r="AF1419" s="152" t="s">
        <v>727</v>
      </c>
      <c r="AG1419" s="23" t="s">
        <v>673</v>
      </c>
      <c r="AH1419" s="155" t="s">
        <v>1801</v>
      </c>
      <c r="AI1419" s="23" t="s">
        <v>1116</v>
      </c>
      <c r="AJ1419" s="23" t="s">
        <v>1116</v>
      </c>
      <c r="AK1419" s="23" t="s">
        <v>212</v>
      </c>
      <c r="AL1419" s="23" t="s">
        <v>572</v>
      </c>
      <c r="AM1419" s="23" t="s">
        <v>1113</v>
      </c>
      <c r="AN1419" s="23" t="s">
        <v>587</v>
      </c>
      <c r="AO1419" s="23" t="s">
        <v>1114</v>
      </c>
      <c r="AP1419" s="23" t="s">
        <v>1117</v>
      </c>
      <c r="AQ1419" s="23" t="s">
        <v>212</v>
      </c>
      <c r="AR1419" s="23" t="s">
        <v>192</v>
      </c>
      <c r="AS1419" s="23">
        <v>6</v>
      </c>
      <c r="AT1419" s="23">
        <v>6</v>
      </c>
      <c r="AU1419" s="23" t="s">
        <v>169</v>
      </c>
      <c r="BD1419" s="23">
        <v>1350</v>
      </c>
      <c r="BE1419" s="23">
        <v>1630</v>
      </c>
      <c r="BF1419" s="23" t="s">
        <v>673</v>
      </c>
      <c r="BG1419" s="23">
        <v>1.28</v>
      </c>
      <c r="BH1419" s="23">
        <v>1.3</v>
      </c>
      <c r="BJ1419" s="23">
        <f>7.32*(1/(100*100*0.05*1.28))*100</f>
        <v>1.14375</v>
      </c>
      <c r="BK1419" s="23">
        <f>12.91*(1/(100*100*0.05*1.3))*100</f>
        <v>1.9861538461538462</v>
      </c>
      <c r="BL1419" s="23" t="s">
        <v>1857</v>
      </c>
      <c r="FT1419" s="23">
        <v>64</v>
      </c>
    </row>
    <row r="1420" spans="1:176" s="23" customFormat="1" x14ac:dyDescent="0.25">
      <c r="A1420" s="23">
        <v>64</v>
      </c>
      <c r="B1420" s="23" t="s">
        <v>1108</v>
      </c>
      <c r="C1420" s="23" t="s">
        <v>1109</v>
      </c>
      <c r="D1420" s="23">
        <v>2005</v>
      </c>
      <c r="E1420" s="23">
        <v>2002</v>
      </c>
      <c r="F1420" s="23" t="s">
        <v>371</v>
      </c>
      <c r="G1420" s="23" t="s">
        <v>1111</v>
      </c>
      <c r="H1420" s="23">
        <f t="shared" si="240"/>
        <v>32.416666666666664</v>
      </c>
      <c r="I1420" s="23">
        <f t="shared" si="241"/>
        <v>-85.6</v>
      </c>
      <c r="J1420" s="23">
        <v>69.47999999999999</v>
      </c>
      <c r="P1420" s="53">
        <v>2</v>
      </c>
      <c r="Q1420" s="53"/>
      <c r="R1420" s="53"/>
      <c r="S1420" s="53" t="s">
        <v>1588</v>
      </c>
      <c r="T1420" s="53" t="s">
        <v>1570</v>
      </c>
      <c r="U1420" s="53" t="s">
        <v>1565</v>
      </c>
      <c r="V1420" s="53" t="s">
        <v>1910</v>
      </c>
      <c r="W1420" s="23">
        <v>1.5</v>
      </c>
      <c r="X1420" s="23">
        <v>54.66</v>
      </c>
      <c r="Y1420" s="23">
        <v>26.940000000000005</v>
      </c>
      <c r="Z1420" s="23" t="s">
        <v>167</v>
      </c>
      <c r="AA1420" s="23">
        <v>6.5</v>
      </c>
      <c r="AB1420" s="23">
        <v>0.52804444444444432</v>
      </c>
      <c r="AD1420" s="23" t="s">
        <v>1513</v>
      </c>
      <c r="AE1420" s="23" t="s">
        <v>727</v>
      </c>
      <c r="AF1420" s="152" t="s">
        <v>727</v>
      </c>
      <c r="AG1420" s="23" t="s">
        <v>160</v>
      </c>
      <c r="AH1420" s="155" t="s">
        <v>1801</v>
      </c>
      <c r="AI1420" s="23" t="s">
        <v>1116</v>
      </c>
      <c r="AJ1420" s="23" t="s">
        <v>1116</v>
      </c>
      <c r="AK1420" s="23" t="s">
        <v>212</v>
      </c>
      <c r="AL1420" s="23" t="s">
        <v>572</v>
      </c>
      <c r="AM1420" s="23" t="s">
        <v>1113</v>
      </c>
      <c r="AN1420" s="23" t="s">
        <v>587</v>
      </c>
      <c r="AO1420" s="23" t="s">
        <v>1114</v>
      </c>
      <c r="AP1420" s="23" t="s">
        <v>1117</v>
      </c>
      <c r="AQ1420" s="23" t="s">
        <v>212</v>
      </c>
      <c r="AR1420" s="23" t="s">
        <v>192</v>
      </c>
      <c r="AS1420" s="23">
        <v>6</v>
      </c>
      <c r="AT1420" s="23">
        <v>6</v>
      </c>
      <c r="AU1420" s="23" t="s">
        <v>169</v>
      </c>
      <c r="BD1420" s="23">
        <v>6640</v>
      </c>
      <c r="BE1420" s="23">
        <v>9040</v>
      </c>
      <c r="BF1420" s="23" t="s">
        <v>160</v>
      </c>
      <c r="BG1420" s="23">
        <v>1.52</v>
      </c>
      <c r="BH1420" s="23">
        <v>1.62</v>
      </c>
      <c r="BJ1420" s="23">
        <f>11.78*(1/(100*100*0.1*1.52))*100</f>
        <v>0.77499999999999991</v>
      </c>
      <c r="BK1420" s="23">
        <f>9.74*(1/(100*100*0.1*1.62))*100</f>
        <v>0.60123456790123464</v>
      </c>
      <c r="BL1420" s="23" t="s">
        <v>1857</v>
      </c>
      <c r="FT1420" s="23">
        <v>64</v>
      </c>
    </row>
    <row r="1421" spans="1:176" s="23" customFormat="1" x14ac:dyDescent="0.25">
      <c r="A1421" s="23">
        <v>64</v>
      </c>
      <c r="B1421" s="23" t="s">
        <v>1108</v>
      </c>
      <c r="C1421" s="23" t="s">
        <v>1109</v>
      </c>
      <c r="D1421" s="23">
        <v>2005</v>
      </c>
      <c r="E1421" s="23">
        <v>2002</v>
      </c>
      <c r="F1421" s="23" t="s">
        <v>371</v>
      </c>
      <c r="G1421" s="23" t="s">
        <v>1111</v>
      </c>
      <c r="H1421" s="23">
        <f t="shared" si="240"/>
        <v>32.416666666666664</v>
      </c>
      <c r="I1421" s="23">
        <f t="shared" si="241"/>
        <v>-85.6</v>
      </c>
      <c r="J1421" s="23">
        <v>69.47999999999999</v>
      </c>
      <c r="P1421" s="53">
        <v>2</v>
      </c>
      <c r="Q1421" s="53"/>
      <c r="R1421" s="53"/>
      <c r="S1421" s="53" t="s">
        <v>1566</v>
      </c>
      <c r="T1421" s="53" t="s">
        <v>1570</v>
      </c>
      <c r="U1421" s="53" t="s">
        <v>1565</v>
      </c>
      <c r="V1421" s="53" t="s">
        <v>1910</v>
      </c>
      <c r="W1421" s="23">
        <v>1.5</v>
      </c>
      <c r="X1421" s="23">
        <v>54.66</v>
      </c>
      <c r="Y1421" s="23">
        <v>26.940000000000005</v>
      </c>
      <c r="Z1421" s="23" t="s">
        <v>167</v>
      </c>
      <c r="AA1421" s="23">
        <v>6.5</v>
      </c>
      <c r="AB1421" s="23">
        <v>0.52804444444444432</v>
      </c>
      <c r="AD1421" s="23" t="s">
        <v>1513</v>
      </c>
      <c r="AE1421" s="23" t="s">
        <v>727</v>
      </c>
      <c r="AF1421" s="152" t="s">
        <v>727</v>
      </c>
      <c r="AG1421" s="23" t="s">
        <v>673</v>
      </c>
      <c r="AH1421" s="155" t="s">
        <v>1801</v>
      </c>
      <c r="AI1421" s="23" t="s">
        <v>1116</v>
      </c>
      <c r="AJ1421" s="23" t="s">
        <v>1116</v>
      </c>
      <c r="AK1421" s="23" t="s">
        <v>212</v>
      </c>
      <c r="AL1421" s="23" t="s">
        <v>572</v>
      </c>
      <c r="AM1421" s="23" t="s">
        <v>1113</v>
      </c>
      <c r="AN1421" s="23" t="s">
        <v>587</v>
      </c>
      <c r="AO1421" s="23" t="s">
        <v>1114</v>
      </c>
      <c r="AP1421" s="23" t="s">
        <v>1117</v>
      </c>
      <c r="AQ1421" s="23" t="s">
        <v>212</v>
      </c>
      <c r="AR1421" s="23" t="s">
        <v>192</v>
      </c>
      <c r="AS1421" s="23">
        <v>6</v>
      </c>
      <c r="AT1421" s="23">
        <v>6</v>
      </c>
      <c r="AU1421" s="23" t="s">
        <v>169</v>
      </c>
      <c r="BG1421" s="23">
        <v>1.6</v>
      </c>
      <c r="BH1421" s="23">
        <v>1.59</v>
      </c>
      <c r="BJ1421" s="23">
        <f>9.9*(1/(100*100*0.15*1.6))*100</f>
        <v>0.41250000000000003</v>
      </c>
      <c r="BK1421" s="23">
        <f>9.93*(1/(100*100*0.15*1.59))*100</f>
        <v>0.41635220125786165</v>
      </c>
      <c r="BL1421" s="23" t="s">
        <v>1857</v>
      </c>
      <c r="FT1421" s="23">
        <v>64</v>
      </c>
    </row>
    <row r="1422" spans="1:176" s="26" customFormat="1" x14ac:dyDescent="0.25">
      <c r="A1422" s="26">
        <v>65</v>
      </c>
      <c r="B1422" s="26" t="s">
        <v>1122</v>
      </c>
      <c r="C1422" s="26" t="s">
        <v>1121</v>
      </c>
      <c r="D1422" s="26">
        <v>1998</v>
      </c>
      <c r="E1422" s="26">
        <v>1992</v>
      </c>
      <c r="F1422" s="26" t="s">
        <v>1120</v>
      </c>
      <c r="G1422" s="26" t="s">
        <v>1123</v>
      </c>
      <c r="H1422" s="26">
        <v>45.28</v>
      </c>
      <c r="I1422" s="26">
        <v>-122.75</v>
      </c>
      <c r="J1422" s="26">
        <v>48</v>
      </c>
      <c r="P1422" s="52">
        <v>1</v>
      </c>
      <c r="Q1422" s="52" t="s">
        <v>994</v>
      </c>
      <c r="R1422" s="52" t="s">
        <v>1012</v>
      </c>
      <c r="S1422" s="52" t="s">
        <v>1589</v>
      </c>
      <c r="T1422" s="52" t="s">
        <v>1575</v>
      </c>
      <c r="U1422" s="52" t="s">
        <v>1593</v>
      </c>
      <c r="V1422" s="52" t="s">
        <v>1918</v>
      </c>
      <c r="Z1422" s="26" t="s">
        <v>1788</v>
      </c>
      <c r="AE1422" s="26" t="s">
        <v>159</v>
      </c>
      <c r="AF1422" s="152" t="s">
        <v>159</v>
      </c>
      <c r="AG1422" s="26" t="s">
        <v>1781</v>
      </c>
      <c r="AH1422" s="154" t="s">
        <v>1781</v>
      </c>
      <c r="AR1422" s="26" t="s">
        <v>147</v>
      </c>
      <c r="DC1422" s="26">
        <v>16.93</v>
      </c>
      <c r="DD1422" s="26">
        <v>20.77</v>
      </c>
      <c r="DE1422" s="26" t="s">
        <v>1868</v>
      </c>
      <c r="FT1422" s="26">
        <v>65</v>
      </c>
    </row>
    <row r="1423" spans="1:176" s="26" customFormat="1" x14ac:dyDescent="0.25">
      <c r="A1423" s="26">
        <v>65</v>
      </c>
      <c r="B1423" s="26" t="s">
        <v>1122</v>
      </c>
      <c r="C1423" s="26" t="s">
        <v>1121</v>
      </c>
      <c r="D1423" s="26">
        <v>1998</v>
      </c>
      <c r="E1423" s="26">
        <v>1992</v>
      </c>
      <c r="F1423" s="26" t="s">
        <v>1120</v>
      </c>
      <c r="G1423" s="26" t="s">
        <v>1123</v>
      </c>
      <c r="H1423" s="26">
        <v>45.28</v>
      </c>
      <c r="I1423" s="26">
        <v>-122.75</v>
      </c>
      <c r="J1423" s="26">
        <v>48</v>
      </c>
      <c r="P1423" s="52">
        <v>1</v>
      </c>
      <c r="Q1423" s="52" t="s">
        <v>994</v>
      </c>
      <c r="R1423" s="52" t="s">
        <v>1130</v>
      </c>
      <c r="S1423" s="52" t="s">
        <v>1589</v>
      </c>
      <c r="T1423" s="52" t="s">
        <v>1575</v>
      </c>
      <c r="U1423" s="52" t="s">
        <v>1593</v>
      </c>
      <c r="V1423" s="52" t="s">
        <v>1918</v>
      </c>
      <c r="Z1423" s="26" t="s">
        <v>1788</v>
      </c>
      <c r="AE1423" s="26" t="s">
        <v>159</v>
      </c>
      <c r="AF1423" s="152" t="s">
        <v>159</v>
      </c>
      <c r="AG1423" s="26" t="s">
        <v>1781</v>
      </c>
      <c r="AH1423" s="154" t="s">
        <v>1781</v>
      </c>
      <c r="AR1423" s="26" t="s">
        <v>147</v>
      </c>
      <c r="DC1423" s="26">
        <v>12.72</v>
      </c>
      <c r="DD1423" s="26">
        <v>8.36</v>
      </c>
      <c r="DE1423" s="26" t="s">
        <v>1868</v>
      </c>
      <c r="FT1423" s="26">
        <v>65</v>
      </c>
    </row>
    <row r="1424" spans="1:176" s="26" customFormat="1" x14ac:dyDescent="0.25">
      <c r="A1424" s="26">
        <v>65</v>
      </c>
      <c r="B1424" s="26" t="s">
        <v>1122</v>
      </c>
      <c r="C1424" s="26" t="s">
        <v>1121</v>
      </c>
      <c r="D1424" s="26">
        <v>1998</v>
      </c>
      <c r="E1424" s="26">
        <v>1992</v>
      </c>
      <c r="F1424" s="26" t="s">
        <v>1120</v>
      </c>
      <c r="G1424" s="26" t="s">
        <v>1123</v>
      </c>
      <c r="H1424" s="26">
        <v>45.28</v>
      </c>
      <c r="I1424" s="26">
        <v>-122.75</v>
      </c>
      <c r="J1424" s="26">
        <v>48</v>
      </c>
      <c r="P1424" s="52">
        <v>1</v>
      </c>
      <c r="Q1424" s="52" t="s">
        <v>994</v>
      </c>
      <c r="R1424" s="52" t="s">
        <v>1013</v>
      </c>
      <c r="S1424" s="52" t="s">
        <v>1589</v>
      </c>
      <c r="T1424" s="52" t="s">
        <v>1575</v>
      </c>
      <c r="U1424" s="52" t="s">
        <v>1593</v>
      </c>
      <c r="V1424" s="52" t="s">
        <v>1918</v>
      </c>
      <c r="Z1424" s="26" t="s">
        <v>1788</v>
      </c>
      <c r="AE1424" s="26" t="s">
        <v>159</v>
      </c>
      <c r="AF1424" s="152" t="s">
        <v>159</v>
      </c>
      <c r="AG1424" s="26" t="s">
        <v>1781</v>
      </c>
      <c r="AH1424" s="154" t="s">
        <v>1781</v>
      </c>
      <c r="AR1424" s="26" t="s">
        <v>147</v>
      </c>
      <c r="DC1424" s="26">
        <v>12.5</v>
      </c>
      <c r="DD1424" s="26">
        <v>10.35</v>
      </c>
      <c r="DE1424" s="26" t="s">
        <v>1868</v>
      </c>
      <c r="FT1424" s="26">
        <v>65</v>
      </c>
    </row>
    <row r="1425" spans="1:176" s="35" customFormat="1" x14ac:dyDescent="0.25">
      <c r="A1425" s="35">
        <v>65</v>
      </c>
      <c r="B1425" s="35" t="s">
        <v>1122</v>
      </c>
      <c r="C1425" s="35" t="s">
        <v>1121</v>
      </c>
      <c r="D1425" s="35">
        <v>1998</v>
      </c>
      <c r="E1425" s="35">
        <v>1993</v>
      </c>
      <c r="F1425" s="35" t="s">
        <v>1120</v>
      </c>
      <c r="G1425" s="35" t="s">
        <v>1123</v>
      </c>
      <c r="H1425" s="35">
        <v>45.28</v>
      </c>
      <c r="I1425" s="35">
        <v>-122.75</v>
      </c>
      <c r="J1425" s="35">
        <v>48</v>
      </c>
      <c r="P1425" s="54">
        <v>2</v>
      </c>
      <c r="Q1425" s="54" t="s">
        <v>994</v>
      </c>
      <c r="R1425" s="54" t="s">
        <v>1014</v>
      </c>
      <c r="S1425" s="54" t="s">
        <v>1589</v>
      </c>
      <c r="T1425" s="54" t="s">
        <v>1575</v>
      </c>
      <c r="U1425" s="54" t="s">
        <v>1593</v>
      </c>
      <c r="V1425" s="54" t="s">
        <v>1918</v>
      </c>
      <c r="Z1425" s="35" t="s">
        <v>1788</v>
      </c>
      <c r="AE1425" s="35" t="s">
        <v>159</v>
      </c>
      <c r="AF1425" s="152" t="s">
        <v>159</v>
      </c>
      <c r="AG1425" s="35" t="s">
        <v>1781</v>
      </c>
      <c r="AH1425" s="154" t="s">
        <v>1781</v>
      </c>
      <c r="AR1425" s="35" t="s">
        <v>147</v>
      </c>
      <c r="DC1425" s="35">
        <v>13.26</v>
      </c>
      <c r="DD1425" s="35">
        <v>8.43</v>
      </c>
      <c r="DE1425" s="35" t="s">
        <v>1868</v>
      </c>
      <c r="FT1425" s="35">
        <v>65</v>
      </c>
    </row>
    <row r="1426" spans="1:176" s="35" customFormat="1" x14ac:dyDescent="0.25">
      <c r="A1426" s="35">
        <v>65</v>
      </c>
      <c r="B1426" s="35" t="s">
        <v>1122</v>
      </c>
      <c r="C1426" s="35" t="s">
        <v>1121</v>
      </c>
      <c r="D1426" s="35">
        <v>1998</v>
      </c>
      <c r="E1426" s="35">
        <v>1993</v>
      </c>
      <c r="F1426" s="35" t="s">
        <v>1120</v>
      </c>
      <c r="G1426" s="35" t="s">
        <v>1123</v>
      </c>
      <c r="H1426" s="35">
        <v>45.28</v>
      </c>
      <c r="I1426" s="35">
        <v>-122.75</v>
      </c>
      <c r="J1426" s="35">
        <v>48</v>
      </c>
      <c r="P1426" s="54">
        <v>2</v>
      </c>
      <c r="Q1426" s="54" t="s">
        <v>994</v>
      </c>
      <c r="R1426" s="54" t="s">
        <v>1131</v>
      </c>
      <c r="S1426" s="54" t="s">
        <v>1589</v>
      </c>
      <c r="T1426" s="54" t="s">
        <v>1575</v>
      </c>
      <c r="U1426" s="54" t="s">
        <v>1593</v>
      </c>
      <c r="V1426" s="54" t="s">
        <v>1918</v>
      </c>
      <c r="Z1426" s="35" t="s">
        <v>1788</v>
      </c>
      <c r="AE1426" s="35" t="s">
        <v>159</v>
      </c>
      <c r="AF1426" s="152" t="s">
        <v>159</v>
      </c>
      <c r="AG1426" s="35" t="s">
        <v>1781</v>
      </c>
      <c r="AH1426" s="154" t="s">
        <v>1781</v>
      </c>
      <c r="AR1426" s="35" t="s">
        <v>147</v>
      </c>
      <c r="DC1426" s="35">
        <v>15.18</v>
      </c>
      <c r="DD1426" s="35">
        <v>8.36</v>
      </c>
      <c r="DE1426" s="35" t="s">
        <v>1868</v>
      </c>
      <c r="FT1426" s="35">
        <v>65</v>
      </c>
    </row>
    <row r="1427" spans="1:176" s="35" customFormat="1" x14ac:dyDescent="0.25">
      <c r="A1427" s="35">
        <v>65</v>
      </c>
      <c r="B1427" s="35" t="s">
        <v>1122</v>
      </c>
      <c r="C1427" s="35" t="s">
        <v>1121</v>
      </c>
      <c r="D1427" s="35">
        <v>1998</v>
      </c>
      <c r="E1427" s="35">
        <v>1993</v>
      </c>
      <c r="F1427" s="35" t="s">
        <v>1120</v>
      </c>
      <c r="G1427" s="35" t="s">
        <v>1123</v>
      </c>
      <c r="H1427" s="35">
        <v>45.28</v>
      </c>
      <c r="I1427" s="35">
        <v>-122.75</v>
      </c>
      <c r="J1427" s="35">
        <v>48</v>
      </c>
      <c r="P1427" s="54">
        <v>2</v>
      </c>
      <c r="Q1427" s="54" t="s">
        <v>994</v>
      </c>
      <c r="R1427" s="54" t="s">
        <v>1132</v>
      </c>
      <c r="S1427" s="54" t="s">
        <v>1589</v>
      </c>
      <c r="T1427" s="54" t="s">
        <v>1575</v>
      </c>
      <c r="U1427" s="54" t="s">
        <v>1593</v>
      </c>
      <c r="V1427" s="54" t="s">
        <v>1918</v>
      </c>
      <c r="Z1427" s="35" t="s">
        <v>1788</v>
      </c>
      <c r="AE1427" s="35" t="s">
        <v>159</v>
      </c>
      <c r="AF1427" s="152" t="s">
        <v>159</v>
      </c>
      <c r="AG1427" s="35" t="s">
        <v>1781</v>
      </c>
      <c r="AH1427" s="154" t="s">
        <v>1781</v>
      </c>
      <c r="AR1427" s="35" t="s">
        <v>147</v>
      </c>
      <c r="DC1427" s="35">
        <v>12.88</v>
      </c>
      <c r="DD1427" s="35">
        <v>7.21</v>
      </c>
      <c r="DE1427" s="35" t="s">
        <v>1868</v>
      </c>
      <c r="FT1427" s="35">
        <v>65</v>
      </c>
    </row>
    <row r="1428" spans="1:176" s="35" customFormat="1" x14ac:dyDescent="0.25">
      <c r="A1428" s="35">
        <v>65</v>
      </c>
      <c r="B1428" s="35" t="s">
        <v>1122</v>
      </c>
      <c r="C1428" s="35" t="s">
        <v>1121</v>
      </c>
      <c r="D1428" s="35">
        <v>1998</v>
      </c>
      <c r="E1428" s="35">
        <v>1993</v>
      </c>
      <c r="F1428" s="35" t="s">
        <v>1120</v>
      </c>
      <c r="G1428" s="35" t="s">
        <v>1123</v>
      </c>
      <c r="H1428" s="35">
        <v>45.28</v>
      </c>
      <c r="I1428" s="35">
        <v>-122.75</v>
      </c>
      <c r="J1428" s="35">
        <v>48</v>
      </c>
      <c r="P1428" s="54">
        <v>2</v>
      </c>
      <c r="Q1428" s="54" t="s">
        <v>994</v>
      </c>
      <c r="R1428" s="54" t="s">
        <v>878</v>
      </c>
      <c r="S1428" s="54" t="s">
        <v>1589</v>
      </c>
      <c r="T1428" s="54" t="s">
        <v>1575</v>
      </c>
      <c r="U1428" s="54" t="s">
        <v>1593</v>
      </c>
      <c r="V1428" s="54" t="s">
        <v>1918</v>
      </c>
      <c r="Z1428" s="35" t="s">
        <v>1788</v>
      </c>
      <c r="AE1428" s="35" t="s">
        <v>159</v>
      </c>
      <c r="AF1428" s="152" t="s">
        <v>159</v>
      </c>
      <c r="AG1428" s="35" t="s">
        <v>1781</v>
      </c>
      <c r="AH1428" s="154" t="s">
        <v>1781</v>
      </c>
      <c r="AR1428" s="35" t="s">
        <v>147</v>
      </c>
      <c r="DC1428" s="35">
        <v>12.19</v>
      </c>
      <c r="DD1428" s="35">
        <v>3.92</v>
      </c>
      <c r="DE1428" s="35" t="s">
        <v>1868</v>
      </c>
      <c r="FT1428" s="35">
        <v>65</v>
      </c>
    </row>
    <row r="1429" spans="1:176" s="35" customFormat="1" x14ac:dyDescent="0.25">
      <c r="A1429" s="35">
        <v>65</v>
      </c>
      <c r="B1429" s="35" t="s">
        <v>1122</v>
      </c>
      <c r="C1429" s="35" t="s">
        <v>1121</v>
      </c>
      <c r="D1429" s="35">
        <v>1998</v>
      </c>
      <c r="E1429" s="35">
        <v>1993</v>
      </c>
      <c r="F1429" s="35" t="s">
        <v>1120</v>
      </c>
      <c r="G1429" s="35" t="s">
        <v>1123</v>
      </c>
      <c r="H1429" s="35">
        <v>45.28</v>
      </c>
      <c r="I1429" s="35">
        <v>-122.75</v>
      </c>
      <c r="J1429" s="35">
        <v>48</v>
      </c>
      <c r="P1429" s="54">
        <v>2</v>
      </c>
      <c r="Q1429" s="54" t="s">
        <v>994</v>
      </c>
      <c r="R1429" s="54" t="s">
        <v>239</v>
      </c>
      <c r="S1429" s="54" t="s">
        <v>1589</v>
      </c>
      <c r="T1429" s="54" t="s">
        <v>1575</v>
      </c>
      <c r="U1429" s="54" t="s">
        <v>1593</v>
      </c>
      <c r="V1429" s="54" t="s">
        <v>1918</v>
      </c>
      <c r="Z1429" s="35" t="s">
        <v>1788</v>
      </c>
      <c r="AE1429" s="35" t="s">
        <v>159</v>
      </c>
      <c r="AF1429" s="152" t="s">
        <v>159</v>
      </c>
      <c r="AG1429" s="35" t="s">
        <v>1781</v>
      </c>
      <c r="AH1429" s="154" t="s">
        <v>1781</v>
      </c>
      <c r="AR1429" s="35" t="s">
        <v>147</v>
      </c>
      <c r="DC1429" s="35">
        <v>14.42</v>
      </c>
      <c r="DD1429" s="35">
        <v>5.91</v>
      </c>
      <c r="DE1429" s="35" t="s">
        <v>1868</v>
      </c>
      <c r="FT1429" s="35">
        <v>65</v>
      </c>
    </row>
    <row r="1430" spans="1:176" s="35" customFormat="1" x14ac:dyDescent="0.25">
      <c r="A1430" s="35">
        <v>65</v>
      </c>
      <c r="B1430" s="35" t="s">
        <v>1122</v>
      </c>
      <c r="C1430" s="35" t="s">
        <v>1121</v>
      </c>
      <c r="D1430" s="35">
        <v>1998</v>
      </c>
      <c r="E1430" s="35">
        <v>1993</v>
      </c>
      <c r="F1430" s="35" t="s">
        <v>1120</v>
      </c>
      <c r="G1430" s="35" t="s">
        <v>1123</v>
      </c>
      <c r="H1430" s="35">
        <v>45.28</v>
      </c>
      <c r="I1430" s="35">
        <v>-122.75</v>
      </c>
      <c r="J1430" s="35">
        <v>48</v>
      </c>
      <c r="P1430" s="54">
        <v>2</v>
      </c>
      <c r="Q1430" s="54" t="s">
        <v>994</v>
      </c>
      <c r="R1430" s="54" t="s">
        <v>685</v>
      </c>
      <c r="S1430" s="54" t="s">
        <v>1589</v>
      </c>
      <c r="T1430" s="54" t="s">
        <v>1575</v>
      </c>
      <c r="U1430" s="54" t="s">
        <v>1593</v>
      </c>
      <c r="V1430" s="54" t="s">
        <v>1918</v>
      </c>
      <c r="Z1430" s="35" t="s">
        <v>1788</v>
      </c>
      <c r="AE1430" s="35" t="s">
        <v>159</v>
      </c>
      <c r="AF1430" s="152" t="s">
        <v>159</v>
      </c>
      <c r="AG1430" s="35" t="s">
        <v>1781</v>
      </c>
      <c r="AH1430" s="154" t="s">
        <v>1781</v>
      </c>
      <c r="AR1430" s="35" t="s">
        <v>147</v>
      </c>
      <c r="DC1430" s="35">
        <v>15.18</v>
      </c>
      <c r="DD1430" s="35">
        <v>5.37</v>
      </c>
      <c r="DE1430" s="35" t="s">
        <v>1868</v>
      </c>
      <c r="FT1430" s="35">
        <v>65</v>
      </c>
    </row>
    <row r="1431" spans="1:176" s="35" customFormat="1" x14ac:dyDescent="0.25">
      <c r="A1431" s="35">
        <v>65</v>
      </c>
      <c r="B1431" s="35" t="s">
        <v>1122</v>
      </c>
      <c r="C1431" s="35" t="s">
        <v>1121</v>
      </c>
      <c r="D1431" s="35">
        <v>1998</v>
      </c>
      <c r="E1431" s="35">
        <v>1993</v>
      </c>
      <c r="F1431" s="35" t="s">
        <v>1120</v>
      </c>
      <c r="G1431" s="35" t="s">
        <v>1123</v>
      </c>
      <c r="H1431" s="35">
        <v>45.28</v>
      </c>
      <c r="I1431" s="35">
        <v>-122.75</v>
      </c>
      <c r="J1431" s="35">
        <v>48</v>
      </c>
      <c r="P1431" s="54">
        <v>2</v>
      </c>
      <c r="Q1431" s="54" t="s">
        <v>994</v>
      </c>
      <c r="R1431" s="54" t="s">
        <v>264</v>
      </c>
      <c r="S1431" s="54" t="s">
        <v>1589</v>
      </c>
      <c r="T1431" s="54" t="s">
        <v>1575</v>
      </c>
      <c r="U1431" s="54" t="s">
        <v>1593</v>
      </c>
      <c r="V1431" s="54" t="s">
        <v>1918</v>
      </c>
      <c r="Z1431" s="35" t="s">
        <v>1788</v>
      </c>
      <c r="AE1431" s="35" t="s">
        <v>159</v>
      </c>
      <c r="AF1431" s="152" t="s">
        <v>159</v>
      </c>
      <c r="AG1431" s="35" t="s">
        <v>1781</v>
      </c>
      <c r="AH1431" s="154" t="s">
        <v>1781</v>
      </c>
      <c r="AR1431" s="35" t="s">
        <v>147</v>
      </c>
      <c r="DC1431" s="35">
        <v>15.26</v>
      </c>
      <c r="DD1431" s="35">
        <v>6.75</v>
      </c>
      <c r="DE1431" s="35" t="s">
        <v>1868</v>
      </c>
      <c r="FT1431" s="35">
        <v>65</v>
      </c>
    </row>
    <row r="1432" spans="1:176" s="35" customFormat="1" x14ac:dyDescent="0.25">
      <c r="A1432" s="35">
        <v>65</v>
      </c>
      <c r="B1432" s="35" t="s">
        <v>1122</v>
      </c>
      <c r="C1432" s="35" t="s">
        <v>1121</v>
      </c>
      <c r="D1432" s="35">
        <v>1998</v>
      </c>
      <c r="E1432" s="35">
        <v>1993</v>
      </c>
      <c r="F1432" s="35" t="s">
        <v>1120</v>
      </c>
      <c r="G1432" s="35" t="s">
        <v>1123</v>
      </c>
      <c r="H1432" s="35">
        <v>45.28</v>
      </c>
      <c r="I1432" s="35">
        <v>-122.75</v>
      </c>
      <c r="J1432" s="35">
        <v>48</v>
      </c>
      <c r="P1432" s="54">
        <v>2</v>
      </c>
      <c r="Q1432" s="54" t="s">
        <v>994</v>
      </c>
      <c r="R1432" s="54" t="s">
        <v>1018</v>
      </c>
      <c r="S1432" s="54" t="s">
        <v>1589</v>
      </c>
      <c r="T1432" s="54" t="s">
        <v>1575</v>
      </c>
      <c r="U1432" s="54" t="s">
        <v>1593</v>
      </c>
      <c r="V1432" s="54" t="s">
        <v>1918</v>
      </c>
      <c r="Z1432" s="35" t="s">
        <v>1788</v>
      </c>
      <c r="AE1432" s="35" t="s">
        <v>159</v>
      </c>
      <c r="AF1432" s="152" t="s">
        <v>159</v>
      </c>
      <c r="AG1432" s="35" t="s">
        <v>1781</v>
      </c>
      <c r="AH1432" s="154" t="s">
        <v>1781</v>
      </c>
      <c r="AR1432" s="35" t="s">
        <v>147</v>
      </c>
      <c r="DC1432" s="35">
        <v>13.35</v>
      </c>
      <c r="DD1432" s="35">
        <v>5.84</v>
      </c>
      <c r="DE1432" s="35" t="s">
        <v>1868</v>
      </c>
      <c r="FT1432" s="35">
        <v>65</v>
      </c>
    </row>
    <row r="1433" spans="1:176" s="35" customFormat="1" x14ac:dyDescent="0.25">
      <c r="A1433" s="35">
        <v>65</v>
      </c>
      <c r="B1433" s="35" t="s">
        <v>1122</v>
      </c>
      <c r="C1433" s="35" t="s">
        <v>1121</v>
      </c>
      <c r="D1433" s="35">
        <v>1998</v>
      </c>
      <c r="E1433" s="35">
        <v>1993</v>
      </c>
      <c r="F1433" s="35" t="s">
        <v>1120</v>
      </c>
      <c r="G1433" s="35" t="s">
        <v>1123</v>
      </c>
      <c r="H1433" s="35">
        <v>45.28</v>
      </c>
      <c r="I1433" s="35">
        <v>-122.75</v>
      </c>
      <c r="J1433" s="35">
        <v>48</v>
      </c>
      <c r="P1433" s="54">
        <v>2</v>
      </c>
      <c r="Q1433" s="54" t="s">
        <v>994</v>
      </c>
      <c r="R1433" s="54" t="s">
        <v>1016</v>
      </c>
      <c r="S1433" s="54" t="s">
        <v>1589</v>
      </c>
      <c r="T1433" s="54" t="s">
        <v>1575</v>
      </c>
      <c r="U1433" s="54" t="s">
        <v>1593</v>
      </c>
      <c r="V1433" s="54" t="s">
        <v>1918</v>
      </c>
      <c r="Z1433" s="35" t="s">
        <v>1788</v>
      </c>
      <c r="AE1433" s="35" t="s">
        <v>159</v>
      </c>
      <c r="AF1433" s="152" t="s">
        <v>159</v>
      </c>
      <c r="AG1433" s="35" t="s">
        <v>1781</v>
      </c>
      <c r="AH1433" s="154" t="s">
        <v>1781</v>
      </c>
      <c r="AR1433" s="35" t="s">
        <v>147</v>
      </c>
      <c r="DC1433" s="35">
        <v>18.100000000000001</v>
      </c>
      <c r="DD1433" s="35">
        <v>8.14</v>
      </c>
      <c r="DE1433" s="35" t="s">
        <v>1868</v>
      </c>
      <c r="FT1433" s="35">
        <v>65</v>
      </c>
    </row>
    <row r="1434" spans="1:176" s="35" customFormat="1" x14ac:dyDescent="0.25">
      <c r="A1434" s="35">
        <v>65</v>
      </c>
      <c r="B1434" s="35" t="s">
        <v>1122</v>
      </c>
      <c r="C1434" s="35" t="s">
        <v>1121</v>
      </c>
      <c r="D1434" s="35">
        <v>1998</v>
      </c>
      <c r="E1434" s="35">
        <v>1993</v>
      </c>
      <c r="F1434" s="35" t="s">
        <v>1120</v>
      </c>
      <c r="G1434" s="35" t="s">
        <v>1123</v>
      </c>
      <c r="H1434" s="35">
        <v>45.28</v>
      </c>
      <c r="I1434" s="35">
        <v>-122.75</v>
      </c>
      <c r="J1434" s="35">
        <v>48</v>
      </c>
      <c r="P1434" s="54">
        <v>2</v>
      </c>
      <c r="Q1434" s="54" t="s">
        <v>994</v>
      </c>
      <c r="R1434" s="54" t="s">
        <v>1017</v>
      </c>
      <c r="S1434" s="54" t="s">
        <v>1589</v>
      </c>
      <c r="T1434" s="54" t="s">
        <v>1575</v>
      </c>
      <c r="U1434" s="54" t="s">
        <v>1593</v>
      </c>
      <c r="V1434" s="54" t="s">
        <v>1918</v>
      </c>
      <c r="Z1434" s="35" t="s">
        <v>1788</v>
      </c>
      <c r="AE1434" s="35" t="s">
        <v>159</v>
      </c>
      <c r="AF1434" s="152" t="s">
        <v>159</v>
      </c>
      <c r="AG1434" s="35" t="s">
        <v>1781</v>
      </c>
      <c r="AH1434" s="154" t="s">
        <v>1781</v>
      </c>
      <c r="AR1434" s="35" t="s">
        <v>147</v>
      </c>
      <c r="DC1434" s="35">
        <v>10.9</v>
      </c>
      <c r="DD1434" s="35">
        <v>4.2300000000000004</v>
      </c>
      <c r="DE1434" s="35" t="s">
        <v>1868</v>
      </c>
      <c r="FT1434" s="35">
        <v>65</v>
      </c>
    </row>
    <row r="1435" spans="1:176" s="35" customFormat="1" x14ac:dyDescent="0.25">
      <c r="A1435" s="35">
        <v>65</v>
      </c>
      <c r="B1435" s="35" t="s">
        <v>1122</v>
      </c>
      <c r="C1435" s="35" t="s">
        <v>1121</v>
      </c>
      <c r="D1435" s="35">
        <v>1998</v>
      </c>
      <c r="E1435" s="35">
        <v>1993</v>
      </c>
      <c r="F1435" s="35" t="s">
        <v>1120</v>
      </c>
      <c r="G1435" s="35" t="s">
        <v>1123</v>
      </c>
      <c r="H1435" s="35">
        <v>45.28</v>
      </c>
      <c r="I1435" s="35">
        <v>-122.75</v>
      </c>
      <c r="J1435" s="35">
        <v>48</v>
      </c>
      <c r="P1435" s="54">
        <v>2</v>
      </c>
      <c r="Q1435" s="54" t="s">
        <v>994</v>
      </c>
      <c r="R1435" s="54" t="s">
        <v>879</v>
      </c>
      <c r="S1435" s="54" t="s">
        <v>1589</v>
      </c>
      <c r="T1435" s="54" t="s">
        <v>1575</v>
      </c>
      <c r="U1435" s="54" t="s">
        <v>1593</v>
      </c>
      <c r="V1435" s="54" t="s">
        <v>1918</v>
      </c>
      <c r="Z1435" s="35" t="s">
        <v>1788</v>
      </c>
      <c r="AE1435" s="35" t="s">
        <v>159</v>
      </c>
      <c r="AF1435" s="152" t="s">
        <v>159</v>
      </c>
      <c r="AG1435" s="35" t="s">
        <v>1781</v>
      </c>
      <c r="AH1435" s="154" t="s">
        <v>1781</v>
      </c>
      <c r="AR1435" s="35" t="s">
        <v>147</v>
      </c>
      <c r="DC1435" s="35">
        <v>9.2899999999999991</v>
      </c>
      <c r="DD1435" s="35">
        <v>5.3</v>
      </c>
      <c r="DE1435" s="35" t="s">
        <v>1868</v>
      </c>
      <c r="FT1435" s="35">
        <v>65</v>
      </c>
    </row>
    <row r="1436" spans="1:176" s="35" customFormat="1" x14ac:dyDescent="0.25">
      <c r="A1436" s="35">
        <v>65</v>
      </c>
      <c r="B1436" s="35" t="s">
        <v>1122</v>
      </c>
      <c r="C1436" s="35" t="s">
        <v>1121</v>
      </c>
      <c r="D1436" s="35">
        <v>1998</v>
      </c>
      <c r="E1436" s="35">
        <v>1993</v>
      </c>
      <c r="F1436" s="35" t="s">
        <v>1120</v>
      </c>
      <c r="G1436" s="35" t="s">
        <v>1123</v>
      </c>
      <c r="H1436" s="35">
        <v>45.28</v>
      </c>
      <c r="I1436" s="35">
        <v>-122.75</v>
      </c>
      <c r="J1436" s="35">
        <v>48</v>
      </c>
      <c r="P1436" s="54">
        <v>2</v>
      </c>
      <c r="Q1436" s="54" t="s">
        <v>994</v>
      </c>
      <c r="R1436" s="54" t="s">
        <v>1133</v>
      </c>
      <c r="S1436" s="54" t="s">
        <v>1589</v>
      </c>
      <c r="T1436" s="54" t="s">
        <v>1575</v>
      </c>
      <c r="U1436" s="54" t="s">
        <v>1593</v>
      </c>
      <c r="V1436" s="54" t="s">
        <v>1918</v>
      </c>
      <c r="Z1436" s="35" t="s">
        <v>1788</v>
      </c>
      <c r="AE1436" s="35" t="s">
        <v>159</v>
      </c>
      <c r="AF1436" s="152" t="s">
        <v>159</v>
      </c>
      <c r="AG1436" s="35" t="s">
        <v>1781</v>
      </c>
      <c r="AH1436" s="154" t="s">
        <v>1781</v>
      </c>
      <c r="AR1436" s="35" t="s">
        <v>147</v>
      </c>
      <c r="DC1436" s="35">
        <v>6.69</v>
      </c>
      <c r="DD1436" s="35">
        <v>9.5</v>
      </c>
      <c r="DE1436" s="35" t="s">
        <v>1868</v>
      </c>
      <c r="FT1436" s="35">
        <v>65</v>
      </c>
    </row>
    <row r="1437" spans="1:176" s="26" customFormat="1" x14ac:dyDescent="0.25">
      <c r="A1437" s="26">
        <v>65</v>
      </c>
      <c r="B1437" s="26" t="s">
        <v>1122</v>
      </c>
      <c r="C1437" s="26" t="s">
        <v>1121</v>
      </c>
      <c r="D1437" s="26">
        <v>1998</v>
      </c>
      <c r="E1437" s="26">
        <v>1994</v>
      </c>
      <c r="F1437" s="26" t="s">
        <v>1120</v>
      </c>
      <c r="G1437" s="26" t="s">
        <v>1123</v>
      </c>
      <c r="H1437" s="26">
        <v>45.28</v>
      </c>
      <c r="I1437" s="26">
        <v>-122.75</v>
      </c>
      <c r="J1437" s="26">
        <v>48</v>
      </c>
      <c r="P1437" s="52">
        <v>3</v>
      </c>
      <c r="Q1437" s="52" t="s">
        <v>994</v>
      </c>
      <c r="R1437" s="52" t="s">
        <v>1014</v>
      </c>
      <c r="S1437" s="52" t="s">
        <v>1589</v>
      </c>
      <c r="T1437" s="52" t="s">
        <v>1575</v>
      </c>
      <c r="U1437" s="52" t="s">
        <v>1593</v>
      </c>
      <c r="V1437" s="52" t="s">
        <v>1918</v>
      </c>
      <c r="Z1437" s="26" t="s">
        <v>1788</v>
      </c>
      <c r="AE1437" s="26" t="s">
        <v>159</v>
      </c>
      <c r="AF1437" s="152" t="s">
        <v>159</v>
      </c>
      <c r="AG1437" s="26" t="s">
        <v>1781</v>
      </c>
      <c r="AH1437" s="154" t="s">
        <v>1781</v>
      </c>
      <c r="AR1437" s="26" t="s">
        <v>147</v>
      </c>
      <c r="DC1437" s="26">
        <v>23.24</v>
      </c>
      <c r="DD1437" s="26">
        <v>10.98</v>
      </c>
      <c r="DE1437" s="26" t="s">
        <v>1868</v>
      </c>
      <c r="FT1437" s="26">
        <v>65</v>
      </c>
    </row>
    <row r="1438" spans="1:176" s="26" customFormat="1" x14ac:dyDescent="0.25">
      <c r="A1438" s="26">
        <v>65</v>
      </c>
      <c r="B1438" s="26" t="s">
        <v>1122</v>
      </c>
      <c r="C1438" s="26" t="s">
        <v>1121</v>
      </c>
      <c r="D1438" s="26">
        <v>1998</v>
      </c>
      <c r="E1438" s="26">
        <v>1994</v>
      </c>
      <c r="F1438" s="26" t="s">
        <v>1120</v>
      </c>
      <c r="G1438" s="26" t="s">
        <v>1123</v>
      </c>
      <c r="H1438" s="26">
        <v>45.28</v>
      </c>
      <c r="I1438" s="26">
        <v>-122.75</v>
      </c>
      <c r="J1438" s="26">
        <v>48</v>
      </c>
      <c r="P1438" s="52">
        <v>3</v>
      </c>
      <c r="Q1438" s="52" t="s">
        <v>994</v>
      </c>
      <c r="R1438" s="52" t="s">
        <v>1131</v>
      </c>
      <c r="S1438" s="52" t="s">
        <v>1589</v>
      </c>
      <c r="T1438" s="52" t="s">
        <v>1575</v>
      </c>
      <c r="U1438" s="52" t="s">
        <v>1593</v>
      </c>
      <c r="V1438" s="52" t="s">
        <v>1918</v>
      </c>
      <c r="Z1438" s="26" t="s">
        <v>1788</v>
      </c>
      <c r="AE1438" s="26" t="s">
        <v>159</v>
      </c>
      <c r="AF1438" s="152" t="s">
        <v>159</v>
      </c>
      <c r="AG1438" s="26" t="s">
        <v>1781</v>
      </c>
      <c r="AH1438" s="154" t="s">
        <v>1781</v>
      </c>
      <c r="AR1438" s="26" t="s">
        <v>147</v>
      </c>
      <c r="DC1438" s="26">
        <v>23</v>
      </c>
      <c r="DD1438" s="26">
        <v>8.2200000000000006</v>
      </c>
      <c r="DE1438" s="26" t="s">
        <v>1868</v>
      </c>
      <c r="FT1438" s="26">
        <v>65</v>
      </c>
    </row>
    <row r="1439" spans="1:176" s="26" customFormat="1" x14ac:dyDescent="0.25">
      <c r="A1439" s="26">
        <v>65</v>
      </c>
      <c r="B1439" s="26" t="s">
        <v>1122</v>
      </c>
      <c r="C1439" s="26" t="s">
        <v>1121</v>
      </c>
      <c r="D1439" s="26">
        <v>1998</v>
      </c>
      <c r="E1439" s="26">
        <v>1994</v>
      </c>
      <c r="F1439" s="26" t="s">
        <v>1120</v>
      </c>
      <c r="G1439" s="26" t="s">
        <v>1123</v>
      </c>
      <c r="H1439" s="26">
        <v>45.28</v>
      </c>
      <c r="I1439" s="26">
        <v>-122.75</v>
      </c>
      <c r="J1439" s="26">
        <v>48</v>
      </c>
      <c r="P1439" s="52">
        <v>3</v>
      </c>
      <c r="Q1439" s="52" t="s">
        <v>994</v>
      </c>
      <c r="R1439" s="52" t="s">
        <v>1132</v>
      </c>
      <c r="S1439" s="52" t="s">
        <v>1589</v>
      </c>
      <c r="T1439" s="52" t="s">
        <v>1575</v>
      </c>
      <c r="U1439" s="52" t="s">
        <v>1593</v>
      </c>
      <c r="V1439" s="52" t="s">
        <v>1918</v>
      </c>
      <c r="Z1439" s="26" t="s">
        <v>1788</v>
      </c>
      <c r="AE1439" s="26" t="s">
        <v>159</v>
      </c>
      <c r="AF1439" s="152" t="s">
        <v>159</v>
      </c>
      <c r="AG1439" s="26" t="s">
        <v>1781</v>
      </c>
      <c r="AH1439" s="154" t="s">
        <v>1781</v>
      </c>
      <c r="AR1439" s="26" t="s">
        <v>147</v>
      </c>
      <c r="DC1439" s="26">
        <v>23.7</v>
      </c>
      <c r="DD1439" s="26">
        <v>8.76</v>
      </c>
      <c r="DE1439" s="26" t="s">
        <v>1868</v>
      </c>
      <c r="FT1439" s="26">
        <v>65</v>
      </c>
    </row>
    <row r="1440" spans="1:176" s="26" customFormat="1" x14ac:dyDescent="0.25">
      <c r="A1440" s="26">
        <v>65</v>
      </c>
      <c r="B1440" s="26" t="s">
        <v>1122</v>
      </c>
      <c r="C1440" s="26" t="s">
        <v>1121</v>
      </c>
      <c r="D1440" s="26">
        <v>1998</v>
      </c>
      <c r="E1440" s="26">
        <v>1994</v>
      </c>
      <c r="F1440" s="26" t="s">
        <v>1120</v>
      </c>
      <c r="G1440" s="26" t="s">
        <v>1123</v>
      </c>
      <c r="H1440" s="26">
        <v>45.28</v>
      </c>
      <c r="I1440" s="26">
        <v>-122.75</v>
      </c>
      <c r="J1440" s="26">
        <v>48</v>
      </c>
      <c r="P1440" s="52">
        <v>3</v>
      </c>
      <c r="Q1440" s="52" t="s">
        <v>994</v>
      </c>
      <c r="R1440" s="52" t="s">
        <v>878</v>
      </c>
      <c r="S1440" s="52" t="s">
        <v>1589</v>
      </c>
      <c r="T1440" s="52" t="s">
        <v>1575</v>
      </c>
      <c r="U1440" s="52" t="s">
        <v>1593</v>
      </c>
      <c r="V1440" s="52" t="s">
        <v>1918</v>
      </c>
      <c r="Z1440" s="26" t="s">
        <v>1788</v>
      </c>
      <c r="AE1440" s="26" t="s">
        <v>159</v>
      </c>
      <c r="AF1440" s="152" t="s">
        <v>159</v>
      </c>
      <c r="AG1440" s="26" t="s">
        <v>1781</v>
      </c>
      <c r="AH1440" s="154" t="s">
        <v>1781</v>
      </c>
      <c r="AR1440" s="26" t="s">
        <v>147</v>
      </c>
      <c r="DC1440" s="26">
        <v>19.41</v>
      </c>
      <c r="DD1440" s="26">
        <v>9.07</v>
      </c>
      <c r="DE1440" s="26" t="s">
        <v>1868</v>
      </c>
      <c r="FT1440" s="26">
        <v>65</v>
      </c>
    </row>
    <row r="1441" spans="1:176" s="26" customFormat="1" x14ac:dyDescent="0.25">
      <c r="A1441" s="26">
        <v>65</v>
      </c>
      <c r="B1441" s="26" t="s">
        <v>1122</v>
      </c>
      <c r="C1441" s="26" t="s">
        <v>1121</v>
      </c>
      <c r="D1441" s="26">
        <v>1998</v>
      </c>
      <c r="E1441" s="26">
        <v>1994</v>
      </c>
      <c r="F1441" s="26" t="s">
        <v>1120</v>
      </c>
      <c r="G1441" s="26" t="s">
        <v>1123</v>
      </c>
      <c r="H1441" s="26">
        <v>45.28</v>
      </c>
      <c r="I1441" s="26">
        <v>-122.75</v>
      </c>
      <c r="J1441" s="26">
        <v>48</v>
      </c>
      <c r="P1441" s="52">
        <v>3</v>
      </c>
      <c r="Q1441" s="52" t="s">
        <v>994</v>
      </c>
      <c r="R1441" s="52" t="s">
        <v>239</v>
      </c>
      <c r="S1441" s="52" t="s">
        <v>1589</v>
      </c>
      <c r="T1441" s="52" t="s">
        <v>1575</v>
      </c>
      <c r="U1441" s="52" t="s">
        <v>1593</v>
      </c>
      <c r="V1441" s="52" t="s">
        <v>1918</v>
      </c>
      <c r="Z1441" s="26" t="s">
        <v>1788</v>
      </c>
      <c r="AE1441" s="26" t="s">
        <v>159</v>
      </c>
      <c r="AF1441" s="152" t="s">
        <v>159</v>
      </c>
      <c r="AG1441" s="26" t="s">
        <v>1781</v>
      </c>
      <c r="AH1441" s="154" t="s">
        <v>1781</v>
      </c>
      <c r="AR1441" s="26" t="s">
        <v>147</v>
      </c>
      <c r="DC1441" s="26">
        <v>16.649999999999999</v>
      </c>
      <c r="DD1441" s="26">
        <v>9.68</v>
      </c>
      <c r="DE1441" s="26" t="s">
        <v>1868</v>
      </c>
      <c r="FT1441" s="26">
        <v>65</v>
      </c>
    </row>
    <row r="1442" spans="1:176" s="26" customFormat="1" x14ac:dyDescent="0.25">
      <c r="A1442" s="26">
        <v>65</v>
      </c>
      <c r="B1442" s="26" t="s">
        <v>1122</v>
      </c>
      <c r="C1442" s="26" t="s">
        <v>1121</v>
      </c>
      <c r="D1442" s="26">
        <v>1998</v>
      </c>
      <c r="E1442" s="26">
        <v>1994</v>
      </c>
      <c r="F1442" s="26" t="s">
        <v>1120</v>
      </c>
      <c r="G1442" s="26" t="s">
        <v>1123</v>
      </c>
      <c r="H1442" s="26">
        <v>45.28</v>
      </c>
      <c r="I1442" s="26">
        <v>-122.75</v>
      </c>
      <c r="J1442" s="26">
        <v>48</v>
      </c>
      <c r="P1442" s="52">
        <v>3</v>
      </c>
      <c r="Q1442" s="52" t="s">
        <v>994</v>
      </c>
      <c r="R1442" s="52" t="s">
        <v>685</v>
      </c>
      <c r="S1442" s="52" t="s">
        <v>1589</v>
      </c>
      <c r="T1442" s="52" t="s">
        <v>1575</v>
      </c>
      <c r="U1442" s="52" t="s">
        <v>1593</v>
      </c>
      <c r="V1442" s="52" t="s">
        <v>1918</v>
      </c>
      <c r="Z1442" s="26" t="s">
        <v>1788</v>
      </c>
      <c r="AE1442" s="26" t="s">
        <v>159</v>
      </c>
      <c r="AF1442" s="152" t="s">
        <v>159</v>
      </c>
      <c r="AG1442" s="26" t="s">
        <v>1781</v>
      </c>
      <c r="AH1442" s="154" t="s">
        <v>1781</v>
      </c>
      <c r="AR1442" s="26" t="s">
        <v>147</v>
      </c>
      <c r="DC1442" s="26">
        <v>18.11</v>
      </c>
      <c r="DD1442" s="26">
        <v>11.14</v>
      </c>
      <c r="DE1442" s="26" t="s">
        <v>1868</v>
      </c>
      <c r="FT1442" s="26">
        <v>65</v>
      </c>
    </row>
    <row r="1443" spans="1:176" s="26" customFormat="1" x14ac:dyDescent="0.25">
      <c r="A1443" s="26">
        <v>65</v>
      </c>
      <c r="B1443" s="26" t="s">
        <v>1122</v>
      </c>
      <c r="C1443" s="26" t="s">
        <v>1121</v>
      </c>
      <c r="D1443" s="26">
        <v>1998</v>
      </c>
      <c r="E1443" s="26">
        <v>1994</v>
      </c>
      <c r="F1443" s="26" t="s">
        <v>1120</v>
      </c>
      <c r="G1443" s="26" t="s">
        <v>1123</v>
      </c>
      <c r="H1443" s="26">
        <v>45.28</v>
      </c>
      <c r="I1443" s="26">
        <v>-122.75</v>
      </c>
      <c r="J1443" s="26">
        <v>48</v>
      </c>
      <c r="P1443" s="52">
        <v>3</v>
      </c>
      <c r="Q1443" s="52" t="s">
        <v>994</v>
      </c>
      <c r="R1443" s="52" t="s">
        <v>264</v>
      </c>
      <c r="S1443" s="52" t="s">
        <v>1589</v>
      </c>
      <c r="T1443" s="52" t="s">
        <v>1575</v>
      </c>
      <c r="U1443" s="52" t="s">
        <v>1593</v>
      </c>
      <c r="V1443" s="52" t="s">
        <v>1918</v>
      </c>
      <c r="Z1443" s="26" t="s">
        <v>1788</v>
      </c>
      <c r="AE1443" s="26" t="s">
        <v>159</v>
      </c>
      <c r="AF1443" s="152" t="s">
        <v>159</v>
      </c>
      <c r="AG1443" s="26" t="s">
        <v>1781</v>
      </c>
      <c r="AH1443" s="154" t="s">
        <v>1781</v>
      </c>
      <c r="AR1443" s="26" t="s">
        <v>147</v>
      </c>
      <c r="DC1443" s="26">
        <v>20.41</v>
      </c>
      <c r="DD1443" s="26">
        <v>10.6</v>
      </c>
      <c r="DE1443" s="26" t="s">
        <v>1868</v>
      </c>
      <c r="FT1443" s="26">
        <v>65</v>
      </c>
    </row>
    <row r="1444" spans="1:176" s="26" customFormat="1" x14ac:dyDescent="0.25">
      <c r="A1444" s="26">
        <v>65</v>
      </c>
      <c r="B1444" s="26" t="s">
        <v>1122</v>
      </c>
      <c r="C1444" s="26" t="s">
        <v>1121</v>
      </c>
      <c r="D1444" s="26">
        <v>1998</v>
      </c>
      <c r="E1444" s="26">
        <v>1994</v>
      </c>
      <c r="F1444" s="26" t="s">
        <v>1120</v>
      </c>
      <c r="G1444" s="26" t="s">
        <v>1123</v>
      </c>
      <c r="H1444" s="26">
        <v>45.28</v>
      </c>
      <c r="I1444" s="26">
        <v>-122.75</v>
      </c>
      <c r="J1444" s="26">
        <v>48</v>
      </c>
      <c r="P1444" s="52">
        <v>3</v>
      </c>
      <c r="Q1444" s="52" t="s">
        <v>994</v>
      </c>
      <c r="R1444" s="52" t="s">
        <v>1018</v>
      </c>
      <c r="S1444" s="52" t="s">
        <v>1589</v>
      </c>
      <c r="T1444" s="52" t="s">
        <v>1575</v>
      </c>
      <c r="U1444" s="52" t="s">
        <v>1593</v>
      </c>
      <c r="V1444" s="52" t="s">
        <v>1918</v>
      </c>
      <c r="Z1444" s="26" t="s">
        <v>1788</v>
      </c>
      <c r="AE1444" s="26" t="s">
        <v>159</v>
      </c>
      <c r="AF1444" s="152" t="s">
        <v>159</v>
      </c>
      <c r="AG1444" s="26" t="s">
        <v>1781</v>
      </c>
      <c r="AH1444" s="154" t="s">
        <v>1781</v>
      </c>
      <c r="AR1444" s="26" t="s">
        <v>147</v>
      </c>
      <c r="DC1444" s="26">
        <v>20.95</v>
      </c>
      <c r="DD1444" s="26">
        <v>9.3000000000000007</v>
      </c>
      <c r="DE1444" s="26" t="s">
        <v>1868</v>
      </c>
      <c r="FT1444" s="26">
        <v>65</v>
      </c>
    </row>
    <row r="1445" spans="1:176" s="26" customFormat="1" x14ac:dyDescent="0.25">
      <c r="A1445" s="26">
        <v>65</v>
      </c>
      <c r="B1445" s="26" t="s">
        <v>1122</v>
      </c>
      <c r="C1445" s="26" t="s">
        <v>1121</v>
      </c>
      <c r="D1445" s="26">
        <v>1998</v>
      </c>
      <c r="E1445" s="26">
        <v>1994</v>
      </c>
      <c r="F1445" s="26" t="s">
        <v>1120</v>
      </c>
      <c r="G1445" s="26" t="s">
        <v>1123</v>
      </c>
      <c r="H1445" s="26">
        <v>45.28</v>
      </c>
      <c r="I1445" s="26">
        <v>-122.75</v>
      </c>
      <c r="J1445" s="26">
        <v>48</v>
      </c>
      <c r="P1445" s="52">
        <v>3</v>
      </c>
      <c r="Q1445" s="52" t="s">
        <v>994</v>
      </c>
      <c r="R1445" s="52" t="s">
        <v>1016</v>
      </c>
      <c r="S1445" s="52" t="s">
        <v>1589</v>
      </c>
      <c r="T1445" s="52" t="s">
        <v>1575</v>
      </c>
      <c r="U1445" s="52" t="s">
        <v>1593</v>
      </c>
      <c r="V1445" s="52" t="s">
        <v>1918</v>
      </c>
      <c r="Z1445" s="26" t="s">
        <v>1788</v>
      </c>
      <c r="AE1445" s="26" t="s">
        <v>159</v>
      </c>
      <c r="AF1445" s="152" t="s">
        <v>159</v>
      </c>
      <c r="AG1445" s="26" t="s">
        <v>1781</v>
      </c>
      <c r="AH1445" s="154" t="s">
        <v>1781</v>
      </c>
      <c r="AR1445" s="26" t="s">
        <v>147</v>
      </c>
      <c r="DC1445" s="26">
        <v>21.95</v>
      </c>
      <c r="DD1445" s="26">
        <v>8.4600000000000009</v>
      </c>
      <c r="DE1445" s="26" t="s">
        <v>1868</v>
      </c>
      <c r="FT1445" s="26">
        <v>65</v>
      </c>
    </row>
    <row r="1446" spans="1:176" s="26" customFormat="1" x14ac:dyDescent="0.25">
      <c r="A1446" s="26">
        <v>65</v>
      </c>
      <c r="B1446" s="26" t="s">
        <v>1122</v>
      </c>
      <c r="C1446" s="26" t="s">
        <v>1121</v>
      </c>
      <c r="D1446" s="26">
        <v>1998</v>
      </c>
      <c r="E1446" s="26">
        <v>1994</v>
      </c>
      <c r="F1446" s="26" t="s">
        <v>1120</v>
      </c>
      <c r="G1446" s="26" t="s">
        <v>1123</v>
      </c>
      <c r="H1446" s="26">
        <v>45.28</v>
      </c>
      <c r="I1446" s="26">
        <v>-122.75</v>
      </c>
      <c r="J1446" s="26">
        <v>48</v>
      </c>
      <c r="P1446" s="52">
        <v>3</v>
      </c>
      <c r="Q1446" s="52" t="s">
        <v>994</v>
      </c>
      <c r="R1446" s="52" t="s">
        <v>1017</v>
      </c>
      <c r="S1446" s="52" t="s">
        <v>1589</v>
      </c>
      <c r="T1446" s="52" t="s">
        <v>1575</v>
      </c>
      <c r="U1446" s="52" t="s">
        <v>1593</v>
      </c>
      <c r="V1446" s="52" t="s">
        <v>1918</v>
      </c>
      <c r="Z1446" s="26" t="s">
        <v>1788</v>
      </c>
      <c r="AE1446" s="26" t="s">
        <v>159</v>
      </c>
      <c r="AF1446" s="152" t="s">
        <v>159</v>
      </c>
      <c r="AG1446" s="26" t="s">
        <v>1781</v>
      </c>
      <c r="AH1446" s="154" t="s">
        <v>1781</v>
      </c>
      <c r="AR1446" s="26" t="s">
        <v>147</v>
      </c>
      <c r="DC1446" s="26">
        <v>13.29</v>
      </c>
      <c r="DD1446" s="26">
        <v>4.9400000000000004</v>
      </c>
      <c r="DE1446" s="26" t="s">
        <v>1868</v>
      </c>
      <c r="FT1446" s="26">
        <v>65</v>
      </c>
    </row>
    <row r="1447" spans="1:176" s="26" customFormat="1" x14ac:dyDescent="0.25">
      <c r="A1447" s="26">
        <v>65</v>
      </c>
      <c r="B1447" s="26" t="s">
        <v>1122</v>
      </c>
      <c r="C1447" s="26" t="s">
        <v>1121</v>
      </c>
      <c r="D1447" s="26">
        <v>1998</v>
      </c>
      <c r="E1447" s="26">
        <v>1994</v>
      </c>
      <c r="F1447" s="26" t="s">
        <v>1120</v>
      </c>
      <c r="G1447" s="26" t="s">
        <v>1123</v>
      </c>
      <c r="H1447" s="26">
        <v>45.28</v>
      </c>
      <c r="I1447" s="26">
        <v>-122.75</v>
      </c>
      <c r="J1447" s="26">
        <v>48</v>
      </c>
      <c r="P1447" s="52">
        <v>3</v>
      </c>
      <c r="Q1447" s="52" t="s">
        <v>994</v>
      </c>
      <c r="R1447" s="52" t="s">
        <v>879</v>
      </c>
      <c r="S1447" s="52" t="s">
        <v>1589</v>
      </c>
      <c r="T1447" s="52" t="s">
        <v>1575</v>
      </c>
      <c r="U1447" s="52" t="s">
        <v>1593</v>
      </c>
      <c r="V1447" s="52" t="s">
        <v>1918</v>
      </c>
      <c r="Z1447" s="26" t="s">
        <v>1788</v>
      </c>
      <c r="AE1447" s="26" t="s">
        <v>159</v>
      </c>
      <c r="AF1447" s="152" t="s">
        <v>159</v>
      </c>
      <c r="AG1447" s="26" t="s">
        <v>1781</v>
      </c>
      <c r="AH1447" s="154" t="s">
        <v>1781</v>
      </c>
      <c r="AR1447" s="26" t="s">
        <v>147</v>
      </c>
      <c r="DC1447" s="26">
        <v>20.190000000000001</v>
      </c>
      <c r="DD1447" s="26">
        <v>8</v>
      </c>
      <c r="DE1447" s="26" t="s">
        <v>1868</v>
      </c>
      <c r="FT1447" s="26">
        <v>65</v>
      </c>
    </row>
    <row r="1448" spans="1:176" s="26" customFormat="1" x14ac:dyDescent="0.25">
      <c r="A1448" s="26">
        <v>65</v>
      </c>
      <c r="B1448" s="26" t="s">
        <v>1122</v>
      </c>
      <c r="C1448" s="26" t="s">
        <v>1121</v>
      </c>
      <c r="D1448" s="26">
        <v>1998</v>
      </c>
      <c r="E1448" s="26">
        <v>1994</v>
      </c>
      <c r="F1448" s="26" t="s">
        <v>1120</v>
      </c>
      <c r="G1448" s="26" t="s">
        <v>1123</v>
      </c>
      <c r="H1448" s="26">
        <v>45.28</v>
      </c>
      <c r="I1448" s="26">
        <v>-122.75</v>
      </c>
      <c r="J1448" s="26">
        <v>48</v>
      </c>
      <c r="P1448" s="52">
        <v>3</v>
      </c>
      <c r="Q1448" s="52" t="s">
        <v>994</v>
      </c>
      <c r="R1448" s="52" t="s">
        <v>1133</v>
      </c>
      <c r="S1448" s="52" t="s">
        <v>1589</v>
      </c>
      <c r="T1448" s="52" t="s">
        <v>1575</v>
      </c>
      <c r="U1448" s="52" t="s">
        <v>1593</v>
      </c>
      <c r="V1448" s="52" t="s">
        <v>1918</v>
      </c>
      <c r="Z1448" s="26" t="s">
        <v>1788</v>
      </c>
      <c r="AE1448" s="26" t="s">
        <v>159</v>
      </c>
      <c r="AF1448" s="152" t="s">
        <v>159</v>
      </c>
      <c r="AG1448" s="26" t="s">
        <v>1781</v>
      </c>
      <c r="AH1448" s="154" t="s">
        <v>1781</v>
      </c>
      <c r="AR1448" s="26" t="s">
        <v>147</v>
      </c>
      <c r="DC1448" s="26">
        <v>11.38</v>
      </c>
      <c r="DD1448" s="26">
        <v>4.4800000000000004</v>
      </c>
      <c r="DE1448" s="26" t="s">
        <v>1868</v>
      </c>
      <c r="FT1448" s="26">
        <v>65</v>
      </c>
    </row>
    <row r="1449" spans="1:176" x14ac:dyDescent="0.25">
      <c r="A1449" s="46">
        <v>66</v>
      </c>
      <c r="B1449" s="46" t="s">
        <v>1134</v>
      </c>
      <c r="C1449" s="46" t="s">
        <v>1135</v>
      </c>
      <c r="D1449" s="46">
        <v>2015</v>
      </c>
      <c r="E1449" s="46">
        <v>2002</v>
      </c>
      <c r="F1449" s="46" t="s">
        <v>371</v>
      </c>
      <c r="G1449" s="46" t="s">
        <v>1136</v>
      </c>
      <c r="H1449" s="46">
        <v>39.54</v>
      </c>
      <c r="I1449" s="46">
        <v>-91.33</v>
      </c>
      <c r="J1449" s="46">
        <v>179.9</v>
      </c>
      <c r="P1449" s="81">
        <v>15</v>
      </c>
      <c r="Q1449" s="81" t="s">
        <v>994</v>
      </c>
      <c r="S1449" s="81" t="s">
        <v>1570</v>
      </c>
      <c r="T1449" s="81" t="s">
        <v>1570</v>
      </c>
      <c r="U1449" s="81" t="s">
        <v>1558</v>
      </c>
      <c r="V1449" s="81" t="s">
        <v>1910</v>
      </c>
      <c r="W1449" s="46">
        <v>1.37</v>
      </c>
      <c r="Z1449" s="46" t="s">
        <v>531</v>
      </c>
      <c r="AA1449" s="46">
        <v>6.98</v>
      </c>
      <c r="AD1449" s="46" t="s">
        <v>1514</v>
      </c>
      <c r="AE1449" s="46" t="s">
        <v>1711</v>
      </c>
      <c r="AF1449" s="152" t="s">
        <v>666</v>
      </c>
      <c r="AG1449" s="46" t="s">
        <v>1769</v>
      </c>
      <c r="AH1449" s="155" t="s">
        <v>1791</v>
      </c>
      <c r="AI1449" s="46" t="s">
        <v>1137</v>
      </c>
      <c r="AJ1449" s="46" t="s">
        <v>1138</v>
      </c>
      <c r="AK1449" s="46" t="s">
        <v>587</v>
      </c>
      <c r="AL1449" s="46" t="s">
        <v>188</v>
      </c>
      <c r="AM1449" s="46" t="s">
        <v>188</v>
      </c>
      <c r="AN1449" s="46" t="s">
        <v>212</v>
      </c>
      <c r="AO1449" s="46" t="s">
        <v>503</v>
      </c>
      <c r="AP1449" s="46" t="s">
        <v>503</v>
      </c>
      <c r="AQ1449" s="46" t="s">
        <v>212</v>
      </c>
      <c r="AR1449" s="46" t="s">
        <v>147</v>
      </c>
      <c r="AS1449" s="46">
        <v>3</v>
      </c>
      <c r="AT1449" s="46">
        <v>3</v>
      </c>
      <c r="AU1449" s="46" t="s">
        <v>169</v>
      </c>
      <c r="AZ1449" s="46" t="s">
        <v>1148</v>
      </c>
      <c r="BG1449" s="46">
        <v>1.37</v>
      </c>
      <c r="BH1449" s="46">
        <v>1.36</v>
      </c>
      <c r="BJ1449" s="46">
        <v>1.7</v>
      </c>
      <c r="BK1449" s="46">
        <v>2.2400000000000002</v>
      </c>
      <c r="BL1449" s="46" t="s">
        <v>1140</v>
      </c>
      <c r="BM1449" s="46">
        <f>1.72*1000</f>
        <v>1720</v>
      </c>
      <c r="BN1449" s="46">
        <f>2.14*1000</f>
        <v>2140</v>
      </c>
      <c r="BO1449" s="46" t="s">
        <v>272</v>
      </c>
      <c r="BP1449" s="46">
        <v>78</v>
      </c>
      <c r="BQ1449" s="46">
        <v>39</v>
      </c>
      <c r="BR1449" s="46" t="s">
        <v>1145</v>
      </c>
      <c r="BS1449" s="46">
        <v>150</v>
      </c>
      <c r="BT1449" s="46">
        <v>144</v>
      </c>
      <c r="BU1449" s="46" t="s">
        <v>1146</v>
      </c>
      <c r="BV1449" s="46">
        <v>7.2</v>
      </c>
      <c r="BW1449" s="46">
        <v>7.1</v>
      </c>
      <c r="BY1449" s="46">
        <v>99999</v>
      </c>
      <c r="BZ1449" s="46">
        <v>99999</v>
      </c>
      <c r="CA1449" s="46" t="s">
        <v>1322</v>
      </c>
      <c r="CB1449" s="46">
        <v>0.21</v>
      </c>
      <c r="CC1449" s="46">
        <v>0.27</v>
      </c>
      <c r="CD1449" s="46" t="s">
        <v>1143</v>
      </c>
      <c r="CH1449" s="46">
        <v>85.8</v>
      </c>
      <c r="CI1449" s="46">
        <v>87.6</v>
      </c>
      <c r="CJ1449" s="46" t="s">
        <v>1139</v>
      </c>
      <c r="EJ1449" s="46">
        <v>167</v>
      </c>
      <c r="EK1449" s="46">
        <v>236</v>
      </c>
      <c r="EL1449" s="46" t="s">
        <v>1141</v>
      </c>
      <c r="EM1449" s="46">
        <f>0.53*1000</f>
        <v>530</v>
      </c>
      <c r="EN1449" s="46">
        <f>0.77*1000</f>
        <v>770</v>
      </c>
      <c r="EP1449" s="46">
        <v>46.4</v>
      </c>
      <c r="EQ1449" s="46">
        <v>60.4</v>
      </c>
      <c r="ER1449" s="46" t="s">
        <v>1142</v>
      </c>
      <c r="FH1449" s="46">
        <v>287</v>
      </c>
      <c r="FI1449" s="46">
        <v>297</v>
      </c>
      <c r="FJ1449" s="46" t="s">
        <v>1142</v>
      </c>
      <c r="FN1449" s="46">
        <v>99999</v>
      </c>
      <c r="FO1449" s="46">
        <v>99999</v>
      </c>
      <c r="FR1449" s="46" t="s">
        <v>1147</v>
      </c>
      <c r="FT1449" s="46">
        <v>66</v>
      </c>
    </row>
    <row r="1450" spans="1:176" x14ac:dyDescent="0.25">
      <c r="A1450" s="46">
        <v>66</v>
      </c>
      <c r="B1450" s="46" t="s">
        <v>1134</v>
      </c>
      <c r="C1450" s="46" t="s">
        <v>1135</v>
      </c>
      <c r="D1450" s="46">
        <v>2015</v>
      </c>
      <c r="E1450" s="46">
        <v>2002</v>
      </c>
      <c r="F1450" s="46" t="s">
        <v>371</v>
      </c>
      <c r="G1450" s="46" t="s">
        <v>1136</v>
      </c>
      <c r="H1450" s="46">
        <v>39.54</v>
      </c>
      <c r="I1450" s="46">
        <v>-91.33</v>
      </c>
      <c r="J1450" s="46">
        <v>179.9</v>
      </c>
      <c r="P1450" s="81">
        <v>15</v>
      </c>
      <c r="Q1450" s="81" t="s">
        <v>994</v>
      </c>
      <c r="S1450" s="81" t="s">
        <v>1588</v>
      </c>
      <c r="T1450" s="81" t="s">
        <v>1570</v>
      </c>
      <c r="U1450" s="81" t="s">
        <v>1558</v>
      </c>
      <c r="V1450" s="81" t="s">
        <v>1907</v>
      </c>
      <c r="W1450" s="46">
        <v>1.37</v>
      </c>
      <c r="Z1450" s="46" t="s">
        <v>531</v>
      </c>
      <c r="AA1450" s="46">
        <v>6.98</v>
      </c>
      <c r="AD1450" s="46" t="s">
        <v>1514</v>
      </c>
      <c r="AE1450" s="46" t="s">
        <v>1711</v>
      </c>
      <c r="AF1450" s="152" t="s">
        <v>666</v>
      </c>
      <c r="AG1450" s="46" t="s">
        <v>1769</v>
      </c>
      <c r="AH1450" s="155" t="s">
        <v>1791</v>
      </c>
      <c r="AI1450" s="46" t="s">
        <v>1137</v>
      </c>
      <c r="AJ1450" s="46" t="s">
        <v>1138</v>
      </c>
      <c r="AK1450" s="46" t="s">
        <v>587</v>
      </c>
      <c r="AL1450" s="46" t="s">
        <v>188</v>
      </c>
      <c r="AM1450" s="46" t="s">
        <v>188</v>
      </c>
      <c r="AN1450" s="46" t="s">
        <v>212</v>
      </c>
      <c r="AO1450" s="46" t="s">
        <v>503</v>
      </c>
      <c r="AP1450" s="46" t="s">
        <v>503</v>
      </c>
      <c r="AQ1450" s="46" t="s">
        <v>212</v>
      </c>
      <c r="AR1450" s="46" t="s">
        <v>147</v>
      </c>
      <c r="AS1450" s="46">
        <v>3</v>
      </c>
      <c r="AT1450" s="46">
        <v>3</v>
      </c>
      <c r="AU1450" s="46" t="s">
        <v>169</v>
      </c>
      <c r="AZ1450" s="46" t="s">
        <v>1148</v>
      </c>
      <c r="BG1450" s="46">
        <v>1.38</v>
      </c>
      <c r="BH1450" s="46">
        <v>1.4</v>
      </c>
      <c r="BJ1450" s="46">
        <v>1.02</v>
      </c>
      <c r="BK1450" s="46">
        <v>1.01</v>
      </c>
      <c r="BL1450" s="46" t="s">
        <v>1140</v>
      </c>
      <c r="BM1450" s="46">
        <v>1180</v>
      </c>
      <c r="BN1450" s="46">
        <v>1220</v>
      </c>
      <c r="BO1450" s="46" t="s">
        <v>272</v>
      </c>
      <c r="BP1450" s="46">
        <v>16.5</v>
      </c>
      <c r="BQ1450" s="46">
        <v>12.2</v>
      </c>
      <c r="BR1450" s="46" t="s">
        <v>1145</v>
      </c>
      <c r="BS1450" s="46">
        <v>107</v>
      </c>
      <c r="BT1450" s="46">
        <v>108</v>
      </c>
      <c r="BU1450" s="46" t="s">
        <v>1146</v>
      </c>
      <c r="BV1450" s="46">
        <v>6.8</v>
      </c>
      <c r="BW1450" s="46">
        <v>6.7</v>
      </c>
      <c r="BY1450" s="46">
        <v>99999</v>
      </c>
      <c r="BZ1450" s="46">
        <v>99999</v>
      </c>
      <c r="CA1450" s="46" t="s">
        <v>1322</v>
      </c>
      <c r="CB1450" s="46">
        <v>0.16</v>
      </c>
      <c r="CC1450" s="46">
        <v>0.17</v>
      </c>
      <c r="CD1450" s="46" t="s">
        <v>1143</v>
      </c>
      <c r="CH1450" s="46">
        <v>87.1</v>
      </c>
      <c r="CI1450" s="46">
        <v>85</v>
      </c>
      <c r="CJ1450" s="46" t="s">
        <v>1139</v>
      </c>
      <c r="EJ1450" s="46">
        <v>36.1</v>
      </c>
      <c r="EK1450" s="46">
        <v>39.799999999999997</v>
      </c>
      <c r="EL1450" s="46" t="s">
        <v>1141</v>
      </c>
      <c r="EM1450" s="46">
        <v>189</v>
      </c>
      <c r="EN1450" s="46">
        <v>214</v>
      </c>
      <c r="EP1450" s="46">
        <v>14</v>
      </c>
      <c r="EQ1450" s="46">
        <v>16.600000000000001</v>
      </c>
      <c r="ER1450" s="46" t="s">
        <v>1142</v>
      </c>
      <c r="FH1450" s="46">
        <v>105</v>
      </c>
      <c r="FI1450" s="46">
        <v>131</v>
      </c>
      <c r="FJ1450" s="46" t="s">
        <v>1142</v>
      </c>
      <c r="FN1450" s="46">
        <v>99999</v>
      </c>
      <c r="FO1450" s="46">
        <v>99999</v>
      </c>
      <c r="FR1450" s="46" t="s">
        <v>1147</v>
      </c>
      <c r="FT1450" s="46">
        <v>66</v>
      </c>
    </row>
    <row r="1451" spans="1:176" s="31" customFormat="1" x14ac:dyDescent="0.25">
      <c r="A1451" s="31">
        <v>66</v>
      </c>
      <c r="B1451" s="31" t="s">
        <v>1134</v>
      </c>
      <c r="C1451" s="31" t="s">
        <v>1135</v>
      </c>
      <c r="D1451" s="31">
        <v>2015</v>
      </c>
      <c r="E1451" s="31">
        <v>2002</v>
      </c>
      <c r="F1451" s="31" t="s">
        <v>371</v>
      </c>
      <c r="G1451" s="31" t="s">
        <v>1136</v>
      </c>
      <c r="H1451" s="31">
        <v>39.54</v>
      </c>
      <c r="I1451" s="31">
        <v>-91.33</v>
      </c>
      <c r="J1451" s="31">
        <v>179.9</v>
      </c>
      <c r="P1451" s="56">
        <v>15</v>
      </c>
      <c r="Q1451" s="56" t="s">
        <v>994</v>
      </c>
      <c r="R1451" s="56"/>
      <c r="S1451" s="56" t="s">
        <v>1570</v>
      </c>
      <c r="T1451" s="56" t="s">
        <v>1570</v>
      </c>
      <c r="U1451" s="56" t="s">
        <v>1558</v>
      </c>
      <c r="V1451" s="56" t="s">
        <v>1910</v>
      </c>
      <c r="W1451" s="31">
        <f>(1.37+1.43)/2</f>
        <v>1.4</v>
      </c>
      <c r="Z1451" s="31" t="s">
        <v>531</v>
      </c>
      <c r="AA1451" s="31">
        <v>6.98</v>
      </c>
      <c r="AD1451" s="31" t="s">
        <v>1514</v>
      </c>
      <c r="AE1451" s="31" t="s">
        <v>1711</v>
      </c>
      <c r="AF1451" s="152" t="s">
        <v>666</v>
      </c>
      <c r="AG1451" s="31" t="s">
        <v>1769</v>
      </c>
      <c r="AH1451" s="155" t="s">
        <v>1791</v>
      </c>
      <c r="AI1451" s="31" t="s">
        <v>1137</v>
      </c>
      <c r="AJ1451" s="31" t="s">
        <v>1137</v>
      </c>
      <c r="AK1451" s="31" t="s">
        <v>212</v>
      </c>
      <c r="AL1451" s="31" t="s">
        <v>188</v>
      </c>
      <c r="AM1451" s="31" t="s">
        <v>1150</v>
      </c>
      <c r="AN1451" s="31" t="s">
        <v>587</v>
      </c>
      <c r="AO1451" s="31" t="s">
        <v>503</v>
      </c>
      <c r="AP1451" s="31" t="s">
        <v>1151</v>
      </c>
      <c r="AQ1451" s="31" t="s">
        <v>587</v>
      </c>
      <c r="AR1451" s="31" t="s">
        <v>147</v>
      </c>
      <c r="AS1451" s="31">
        <v>3</v>
      </c>
      <c r="AT1451" s="31">
        <v>3</v>
      </c>
      <c r="AU1451" s="31" t="s">
        <v>169</v>
      </c>
      <c r="AZ1451" s="31" t="s">
        <v>1149</v>
      </c>
      <c r="BG1451" s="31">
        <v>1.43</v>
      </c>
      <c r="BH1451" s="31">
        <v>1.37</v>
      </c>
      <c r="BJ1451" s="31">
        <f>15.9/10</f>
        <v>1.59</v>
      </c>
      <c r="BK1451" s="31">
        <f>16.7/10</f>
        <v>1.67</v>
      </c>
      <c r="BL1451" s="31" t="s">
        <v>1140</v>
      </c>
      <c r="BM1451" s="31">
        <v>1710</v>
      </c>
      <c r="BN1451" s="31">
        <v>2270</v>
      </c>
      <c r="BO1451" s="31" t="s">
        <v>272</v>
      </c>
      <c r="BP1451" s="31">
        <v>37</v>
      </c>
      <c r="BQ1451" s="31">
        <v>96</v>
      </c>
      <c r="BR1451" s="31" t="s">
        <v>1145</v>
      </c>
      <c r="BS1451" s="31">
        <v>163</v>
      </c>
      <c r="BT1451" s="31">
        <v>136</v>
      </c>
      <c r="BU1451" s="31" t="s">
        <v>1146</v>
      </c>
      <c r="BV1451" s="31">
        <v>6.7</v>
      </c>
      <c r="BW1451" s="31">
        <v>7.2</v>
      </c>
      <c r="BY1451" s="31">
        <v>99999</v>
      </c>
      <c r="BZ1451" s="31">
        <v>99999</v>
      </c>
      <c r="CA1451" s="31" t="s">
        <v>1322</v>
      </c>
      <c r="CB1451" s="31">
        <v>0.41</v>
      </c>
      <c r="CC1451" s="31">
        <v>0.33</v>
      </c>
      <c r="CD1451" s="31" t="s">
        <v>1143</v>
      </c>
      <c r="CH1451" s="31">
        <v>88.6</v>
      </c>
      <c r="CI1451" s="31">
        <v>90.2</v>
      </c>
      <c r="CJ1451" s="31" t="s">
        <v>1139</v>
      </c>
      <c r="EJ1451" s="31">
        <v>222</v>
      </c>
      <c r="EK1451" s="31">
        <v>186</v>
      </c>
      <c r="EL1451" s="31" t="s">
        <v>1141</v>
      </c>
      <c r="EM1451" s="31">
        <v>530</v>
      </c>
      <c r="EN1451" s="31">
        <v>810</v>
      </c>
      <c r="EP1451" s="31">
        <v>47.9</v>
      </c>
      <c r="EQ1451" s="31">
        <v>22.8</v>
      </c>
      <c r="ER1451" s="31" t="s">
        <v>1142</v>
      </c>
      <c r="FH1451" s="31">
        <v>389</v>
      </c>
      <c r="FI1451" s="31">
        <v>731</v>
      </c>
      <c r="FJ1451" s="31" t="s">
        <v>1142</v>
      </c>
      <c r="FN1451" s="31">
        <v>99999</v>
      </c>
      <c r="FO1451" s="46">
        <v>99999</v>
      </c>
      <c r="FR1451" s="31" t="s">
        <v>1147</v>
      </c>
      <c r="FT1451" s="31">
        <v>66</v>
      </c>
    </row>
    <row r="1452" spans="1:176" s="31" customFormat="1" x14ac:dyDescent="0.25">
      <c r="A1452" s="31">
        <v>66</v>
      </c>
      <c r="B1452" s="31" t="s">
        <v>1134</v>
      </c>
      <c r="C1452" s="31" t="s">
        <v>1135</v>
      </c>
      <c r="D1452" s="31">
        <v>2015</v>
      </c>
      <c r="E1452" s="31">
        <v>2002</v>
      </c>
      <c r="F1452" s="31" t="s">
        <v>371</v>
      </c>
      <c r="G1452" s="31" t="s">
        <v>1136</v>
      </c>
      <c r="H1452" s="31">
        <v>39.54</v>
      </c>
      <c r="I1452" s="31">
        <v>-91.33</v>
      </c>
      <c r="J1452" s="31">
        <v>179.9</v>
      </c>
      <c r="P1452" s="56">
        <v>15</v>
      </c>
      <c r="Q1452" s="56" t="s">
        <v>994</v>
      </c>
      <c r="R1452" s="56"/>
      <c r="S1452" s="56" t="s">
        <v>1588</v>
      </c>
      <c r="T1452" s="56" t="s">
        <v>1570</v>
      </c>
      <c r="U1452" s="56" t="s">
        <v>1558</v>
      </c>
      <c r="V1452" s="56" t="s">
        <v>1907</v>
      </c>
      <c r="W1452" s="31">
        <f>(1.37+1.43)/2</f>
        <v>1.4</v>
      </c>
      <c r="Z1452" s="31" t="s">
        <v>531</v>
      </c>
      <c r="AA1452" s="31">
        <v>6.98</v>
      </c>
      <c r="AD1452" s="31" t="s">
        <v>1514</v>
      </c>
      <c r="AE1452" s="31" t="s">
        <v>1711</v>
      </c>
      <c r="AF1452" s="152" t="s">
        <v>666</v>
      </c>
      <c r="AG1452" s="31" t="s">
        <v>1769</v>
      </c>
      <c r="AH1452" s="155" t="s">
        <v>1791</v>
      </c>
      <c r="AI1452" s="31" t="s">
        <v>1137</v>
      </c>
      <c r="AJ1452" s="31" t="s">
        <v>1137</v>
      </c>
      <c r="AK1452" s="31" t="s">
        <v>212</v>
      </c>
      <c r="AL1452" s="31" t="s">
        <v>188</v>
      </c>
      <c r="AM1452" s="31" t="s">
        <v>1150</v>
      </c>
      <c r="AN1452" s="31" t="s">
        <v>587</v>
      </c>
      <c r="AO1452" s="31" t="s">
        <v>503</v>
      </c>
      <c r="AP1452" s="31" t="s">
        <v>1151</v>
      </c>
      <c r="AQ1452" s="31" t="s">
        <v>587</v>
      </c>
      <c r="AR1452" s="31" t="s">
        <v>147</v>
      </c>
      <c r="AS1452" s="31">
        <v>3</v>
      </c>
      <c r="AT1452" s="31">
        <v>3</v>
      </c>
      <c r="AU1452" s="31" t="s">
        <v>169</v>
      </c>
      <c r="AZ1452" s="31" t="s">
        <v>1149</v>
      </c>
      <c r="BG1452" s="31">
        <v>1.41</v>
      </c>
      <c r="BH1452" s="31">
        <v>1.46</v>
      </c>
      <c r="BJ1452" s="31">
        <v>1.04</v>
      </c>
      <c r="BK1452" s="31">
        <v>1.33</v>
      </c>
      <c r="BL1452" s="31" t="s">
        <v>1140</v>
      </c>
      <c r="BM1452" s="31">
        <v>1160</v>
      </c>
      <c r="BN1452" s="31">
        <v>1600</v>
      </c>
      <c r="BO1452" s="31" t="s">
        <v>272</v>
      </c>
      <c r="BP1452" s="31">
        <v>12.6</v>
      </c>
      <c r="BQ1452" s="31">
        <v>32.5</v>
      </c>
      <c r="BR1452" s="31" t="s">
        <v>1145</v>
      </c>
      <c r="BS1452" s="31">
        <v>65.099999999999994</v>
      </c>
      <c r="BT1452" s="31">
        <v>67.8</v>
      </c>
      <c r="BU1452" s="31" t="s">
        <v>1146</v>
      </c>
      <c r="BV1452" s="31">
        <v>6.9</v>
      </c>
      <c r="BW1452" s="31">
        <v>7.2</v>
      </c>
      <c r="BY1452" s="31">
        <v>99999</v>
      </c>
      <c r="BZ1452" s="31">
        <v>99999</v>
      </c>
      <c r="CA1452" s="31" t="s">
        <v>1322</v>
      </c>
      <c r="CB1452" s="31">
        <v>0.13</v>
      </c>
      <c r="CC1452" s="31">
        <v>0.2</v>
      </c>
      <c r="CD1452" s="31" t="s">
        <v>1143</v>
      </c>
      <c r="CH1452" s="31">
        <v>85.8</v>
      </c>
      <c r="CI1452" s="31">
        <v>91.2</v>
      </c>
      <c r="CJ1452" s="31" t="s">
        <v>1139</v>
      </c>
      <c r="EJ1452" s="31">
        <v>57.8</v>
      </c>
      <c r="EK1452" s="31">
        <v>77.599999999999994</v>
      </c>
      <c r="EL1452" s="31" t="s">
        <v>1141</v>
      </c>
      <c r="EM1452" s="31">
        <v>202</v>
      </c>
      <c r="EN1452" s="31">
        <v>266</v>
      </c>
      <c r="EP1452" s="31">
        <v>22.6</v>
      </c>
      <c r="EQ1452" s="31">
        <v>14.3</v>
      </c>
      <c r="ER1452" s="31" t="s">
        <v>1142</v>
      </c>
      <c r="FH1452" s="31">
        <v>109</v>
      </c>
      <c r="FI1452" s="31">
        <v>251</v>
      </c>
      <c r="FJ1452" s="31" t="s">
        <v>1142</v>
      </c>
      <c r="FN1452" s="31">
        <v>99999</v>
      </c>
      <c r="FO1452" s="46">
        <v>99999</v>
      </c>
      <c r="FR1452" s="31" t="s">
        <v>1147</v>
      </c>
      <c r="FT1452" s="31">
        <v>66</v>
      </c>
    </row>
    <row r="1453" spans="1:176" s="47" customFormat="1" x14ac:dyDescent="0.25">
      <c r="A1453" s="47">
        <v>67</v>
      </c>
      <c r="B1453" s="47" t="s">
        <v>1152</v>
      </c>
      <c r="C1453" s="47" t="s">
        <v>1153</v>
      </c>
      <c r="D1453" s="47">
        <v>2006</v>
      </c>
      <c r="E1453" s="47">
        <v>2002</v>
      </c>
      <c r="F1453" s="47" t="s">
        <v>180</v>
      </c>
      <c r="G1453" s="47" t="s">
        <v>1154</v>
      </c>
      <c r="H1453" s="47">
        <v>40.1</v>
      </c>
      <c r="I1453" s="47">
        <v>-88.25</v>
      </c>
      <c r="J1453" s="47">
        <v>235.6</v>
      </c>
      <c r="P1453" s="82">
        <v>1</v>
      </c>
      <c r="Q1453" s="82" t="s">
        <v>994</v>
      </c>
      <c r="R1453" s="82" t="s">
        <v>1156</v>
      </c>
      <c r="S1453" s="82" t="s">
        <v>1570</v>
      </c>
      <c r="T1453" s="82" t="s">
        <v>1570</v>
      </c>
      <c r="U1453" s="82" t="s">
        <v>1565</v>
      </c>
      <c r="V1453" s="82" t="s">
        <v>1910</v>
      </c>
      <c r="Z1453" s="47" t="s">
        <v>167</v>
      </c>
      <c r="AD1453" s="47" t="s">
        <v>1481</v>
      </c>
      <c r="AE1453" s="47" t="s">
        <v>159</v>
      </c>
      <c r="AF1453" s="152" t="s">
        <v>159</v>
      </c>
      <c r="AG1453" s="47" t="s">
        <v>160</v>
      </c>
      <c r="AH1453" s="154" t="s">
        <v>1791</v>
      </c>
      <c r="AI1453" s="47" t="s">
        <v>1137</v>
      </c>
      <c r="AJ1453" s="47" t="s">
        <v>1137</v>
      </c>
      <c r="AK1453" s="47" t="s">
        <v>212</v>
      </c>
      <c r="AL1453" s="47" t="s">
        <v>188</v>
      </c>
      <c r="AM1453" s="47" t="s">
        <v>188</v>
      </c>
      <c r="AN1453" s="47" t="s">
        <v>212</v>
      </c>
      <c r="AO1453" s="47" t="s">
        <v>1155</v>
      </c>
      <c r="AP1453" s="47" t="s">
        <v>1155</v>
      </c>
      <c r="AQ1453" s="47" t="s">
        <v>212</v>
      </c>
      <c r="AR1453" s="47" t="s">
        <v>147</v>
      </c>
      <c r="AS1453" s="47">
        <v>4</v>
      </c>
      <c r="AT1453" s="47">
        <v>4</v>
      </c>
      <c r="AU1453" s="47" t="s">
        <v>379</v>
      </c>
      <c r="BG1453" s="47">
        <v>1.32</v>
      </c>
      <c r="BH1453" s="47">
        <v>1.24</v>
      </c>
      <c r="BJ1453" s="47">
        <v>4.2</v>
      </c>
      <c r="BK1453" s="47">
        <v>4.4000000000000004</v>
      </c>
      <c r="BL1453" s="47" t="s">
        <v>1157</v>
      </c>
      <c r="BM1453" s="47">
        <v>27.7</v>
      </c>
      <c r="BN1453" s="47">
        <v>23.1</v>
      </c>
      <c r="BO1453" s="47" t="s">
        <v>1160</v>
      </c>
      <c r="BP1453" s="47">
        <v>36.4</v>
      </c>
      <c r="BQ1453" s="47">
        <v>29.6</v>
      </c>
      <c r="CH1453" s="47">
        <v>38</v>
      </c>
      <c r="CI1453" s="47">
        <v>41</v>
      </c>
      <c r="CJ1453" s="47" t="s">
        <v>1139</v>
      </c>
      <c r="CK1453" s="47">
        <v>39</v>
      </c>
      <c r="CL1453" s="47">
        <v>41</v>
      </c>
      <c r="CM1453" s="47" t="s">
        <v>1169</v>
      </c>
      <c r="CN1453" s="47">
        <v>1.4119999999999999</v>
      </c>
      <c r="CO1453" s="47">
        <v>1.032</v>
      </c>
      <c r="CP1453" s="47" t="s">
        <v>1161</v>
      </c>
      <c r="DL1453" s="47">
        <v>24.3</v>
      </c>
      <c r="DM1453" s="47">
        <v>25.3</v>
      </c>
      <c r="DN1453" s="47" t="s">
        <v>1170</v>
      </c>
      <c r="FT1453" s="47">
        <v>67</v>
      </c>
    </row>
    <row r="1454" spans="1:176" s="47" customFormat="1" x14ac:dyDescent="0.25">
      <c r="A1454" s="47">
        <v>67</v>
      </c>
      <c r="B1454" s="47" t="s">
        <v>1152</v>
      </c>
      <c r="C1454" s="47" t="s">
        <v>1153</v>
      </c>
      <c r="D1454" s="47">
        <v>2006</v>
      </c>
      <c r="E1454" s="47">
        <v>2002</v>
      </c>
      <c r="F1454" s="47" t="s">
        <v>180</v>
      </c>
      <c r="G1454" s="47" t="s">
        <v>1154</v>
      </c>
      <c r="H1454" s="47">
        <v>40.1</v>
      </c>
      <c r="I1454" s="47">
        <v>-88.25</v>
      </c>
      <c r="J1454" s="47">
        <v>235.6</v>
      </c>
      <c r="P1454" s="82">
        <v>1</v>
      </c>
      <c r="Q1454" s="82" t="s">
        <v>994</v>
      </c>
      <c r="R1454" s="82" t="s">
        <v>1156</v>
      </c>
      <c r="S1454" s="82" t="s">
        <v>1577</v>
      </c>
      <c r="T1454" s="82" t="s">
        <v>1570</v>
      </c>
      <c r="U1454" s="82" t="s">
        <v>1565</v>
      </c>
      <c r="V1454" s="82" t="s">
        <v>1910</v>
      </c>
      <c r="Z1454" s="47" t="s">
        <v>167</v>
      </c>
      <c r="AD1454" s="47" t="s">
        <v>1481</v>
      </c>
      <c r="AE1454" s="47" t="s">
        <v>159</v>
      </c>
      <c r="AF1454" s="152" t="s">
        <v>159</v>
      </c>
      <c r="AG1454" s="47" t="s">
        <v>160</v>
      </c>
      <c r="AH1454" s="154" t="s">
        <v>1791</v>
      </c>
      <c r="AI1454" s="47" t="s">
        <v>1137</v>
      </c>
      <c r="AJ1454" s="47" t="s">
        <v>1137</v>
      </c>
      <c r="AK1454" s="47" t="s">
        <v>212</v>
      </c>
      <c r="AL1454" s="47" t="s">
        <v>188</v>
      </c>
      <c r="AM1454" s="47" t="s">
        <v>188</v>
      </c>
      <c r="AN1454" s="47" t="s">
        <v>212</v>
      </c>
      <c r="AO1454" s="47" t="s">
        <v>1155</v>
      </c>
      <c r="AP1454" s="47" t="s">
        <v>1155</v>
      </c>
      <c r="AQ1454" s="47" t="s">
        <v>212</v>
      </c>
      <c r="AR1454" s="47" t="s">
        <v>147</v>
      </c>
      <c r="AS1454" s="47">
        <v>4</v>
      </c>
      <c r="AT1454" s="47">
        <v>4</v>
      </c>
      <c r="AU1454" s="47" t="s">
        <v>379</v>
      </c>
      <c r="BG1454" s="47">
        <v>1.4</v>
      </c>
      <c r="BH1454" s="47">
        <v>1.38</v>
      </c>
      <c r="BJ1454" s="47">
        <v>3.3</v>
      </c>
      <c r="BK1454" s="47">
        <v>3.5</v>
      </c>
      <c r="BL1454" s="47" t="s">
        <v>1157</v>
      </c>
      <c r="BM1454" s="47">
        <v>24.8</v>
      </c>
      <c r="BN1454" s="47">
        <v>29.1</v>
      </c>
      <c r="BO1454" s="47" t="s">
        <v>1160</v>
      </c>
      <c r="BP1454" s="47">
        <v>36.4</v>
      </c>
      <c r="BQ1454" s="47">
        <v>34.4</v>
      </c>
      <c r="CH1454" s="47">
        <v>38</v>
      </c>
      <c r="CI1454" s="47">
        <v>43</v>
      </c>
      <c r="CJ1454" s="47" t="s">
        <v>1139</v>
      </c>
      <c r="CK1454" s="47">
        <v>39</v>
      </c>
      <c r="CL1454" s="47">
        <v>40.299999999999997</v>
      </c>
      <c r="CM1454" s="47" t="s">
        <v>1169</v>
      </c>
      <c r="CN1454" s="47">
        <v>1.84</v>
      </c>
      <c r="CO1454" s="47">
        <v>1.653</v>
      </c>
      <c r="CP1454" s="47" t="s">
        <v>1161</v>
      </c>
      <c r="DL1454" s="47">
        <v>24.3</v>
      </c>
      <c r="DM1454" s="47">
        <v>25.6</v>
      </c>
      <c r="DN1454" s="47" t="s">
        <v>1170</v>
      </c>
      <c r="FT1454" s="47">
        <v>67</v>
      </c>
    </row>
    <row r="1455" spans="1:176" s="47" customFormat="1" x14ac:dyDescent="0.25">
      <c r="A1455" s="47">
        <v>67</v>
      </c>
      <c r="B1455" s="47" t="s">
        <v>1152</v>
      </c>
      <c r="C1455" s="47" t="s">
        <v>1153</v>
      </c>
      <c r="D1455" s="47">
        <v>2006</v>
      </c>
      <c r="E1455" s="47">
        <v>2002</v>
      </c>
      <c r="F1455" s="47" t="s">
        <v>180</v>
      </c>
      <c r="G1455" s="47" t="s">
        <v>1154</v>
      </c>
      <c r="H1455" s="47">
        <v>40.1</v>
      </c>
      <c r="I1455" s="47">
        <v>-88.25</v>
      </c>
      <c r="J1455" s="47">
        <v>235.6</v>
      </c>
      <c r="P1455" s="82">
        <v>1</v>
      </c>
      <c r="Q1455" s="82" t="s">
        <v>994</v>
      </c>
      <c r="R1455" s="82" t="s">
        <v>1156</v>
      </c>
      <c r="S1455" s="82" t="s">
        <v>1585</v>
      </c>
      <c r="T1455" s="82" t="s">
        <v>1570</v>
      </c>
      <c r="U1455" s="82" t="s">
        <v>1565</v>
      </c>
      <c r="V1455" s="82" t="s">
        <v>1910</v>
      </c>
      <c r="Z1455" s="47" t="s">
        <v>167</v>
      </c>
      <c r="AD1455" s="47" t="s">
        <v>1481</v>
      </c>
      <c r="AE1455" s="47" t="s">
        <v>159</v>
      </c>
      <c r="AF1455" s="152" t="s">
        <v>159</v>
      </c>
      <c r="AG1455" s="47" t="s">
        <v>160</v>
      </c>
      <c r="AH1455" s="154" t="s">
        <v>1791</v>
      </c>
      <c r="AI1455" s="47" t="s">
        <v>1137</v>
      </c>
      <c r="AJ1455" s="47" t="s">
        <v>1137</v>
      </c>
      <c r="AK1455" s="47" t="s">
        <v>212</v>
      </c>
      <c r="AL1455" s="47" t="s">
        <v>188</v>
      </c>
      <c r="AM1455" s="47" t="s">
        <v>188</v>
      </c>
      <c r="AN1455" s="47" t="s">
        <v>212</v>
      </c>
      <c r="AO1455" s="47" t="s">
        <v>1155</v>
      </c>
      <c r="AP1455" s="47" t="s">
        <v>1155</v>
      </c>
      <c r="AQ1455" s="47" t="s">
        <v>212</v>
      </c>
      <c r="AR1455" s="47" t="s">
        <v>147</v>
      </c>
      <c r="AS1455" s="47">
        <v>4</v>
      </c>
      <c r="AT1455" s="47">
        <v>4</v>
      </c>
      <c r="AU1455" s="47" t="s">
        <v>379</v>
      </c>
      <c r="BG1455" s="47">
        <v>1.45</v>
      </c>
      <c r="BH1455" s="47">
        <v>1.46</v>
      </c>
      <c r="BJ1455" s="47">
        <v>3.1</v>
      </c>
      <c r="BK1455" s="47">
        <v>3.3</v>
      </c>
      <c r="BL1455" s="47" t="s">
        <v>1157</v>
      </c>
      <c r="BM1455" s="47">
        <v>32.700000000000003</v>
      </c>
      <c r="BN1455" s="47">
        <v>26.7</v>
      </c>
      <c r="BO1455" s="47" t="s">
        <v>1160</v>
      </c>
      <c r="BP1455" s="47">
        <v>36.4</v>
      </c>
      <c r="BQ1455" s="47">
        <v>31.2</v>
      </c>
      <c r="CH1455" s="47">
        <v>38</v>
      </c>
      <c r="CI1455" s="47">
        <v>44</v>
      </c>
      <c r="CJ1455" s="47" t="s">
        <v>1139</v>
      </c>
      <c r="CK1455" s="47">
        <v>39</v>
      </c>
      <c r="CL1455" s="47">
        <v>41.3</v>
      </c>
      <c r="CM1455" s="47" t="s">
        <v>1169</v>
      </c>
      <c r="CN1455" s="47">
        <v>1.744</v>
      </c>
      <c r="CO1455" s="47">
        <v>1.746</v>
      </c>
      <c r="CP1455" s="47" t="s">
        <v>1161</v>
      </c>
      <c r="DL1455" s="47">
        <v>24.3</v>
      </c>
      <c r="DM1455" s="47">
        <v>26.4</v>
      </c>
      <c r="DN1455" s="47" t="s">
        <v>1170</v>
      </c>
      <c r="FT1455" s="47">
        <v>67</v>
      </c>
    </row>
    <row r="1456" spans="1:176" s="47" customFormat="1" x14ac:dyDescent="0.25">
      <c r="A1456" s="47">
        <v>67</v>
      </c>
      <c r="B1456" s="47" t="s">
        <v>1152</v>
      </c>
      <c r="C1456" s="47" t="s">
        <v>1153</v>
      </c>
      <c r="D1456" s="47">
        <v>2006</v>
      </c>
      <c r="E1456" s="47">
        <v>2002</v>
      </c>
      <c r="F1456" s="47" t="s">
        <v>180</v>
      </c>
      <c r="G1456" s="47" t="s">
        <v>1154</v>
      </c>
      <c r="H1456" s="47">
        <v>40.1</v>
      </c>
      <c r="I1456" s="47">
        <v>-88.25</v>
      </c>
      <c r="J1456" s="47">
        <v>235.6</v>
      </c>
      <c r="P1456" s="82">
        <v>1</v>
      </c>
      <c r="Q1456" s="82" t="s">
        <v>994</v>
      </c>
      <c r="R1456" s="82" t="s">
        <v>1156</v>
      </c>
      <c r="S1456" s="82" t="s">
        <v>1566</v>
      </c>
      <c r="T1456" s="82" t="s">
        <v>1570</v>
      </c>
      <c r="U1456" s="82" t="s">
        <v>1565</v>
      </c>
      <c r="V1456" s="82" t="s">
        <v>1910</v>
      </c>
      <c r="Z1456" s="47" t="s">
        <v>167</v>
      </c>
      <c r="AD1456" s="47" t="s">
        <v>1481</v>
      </c>
      <c r="AE1456" s="47" t="s">
        <v>159</v>
      </c>
      <c r="AF1456" s="152" t="s">
        <v>159</v>
      </c>
      <c r="AG1456" s="47" t="s">
        <v>160</v>
      </c>
      <c r="AH1456" s="154" t="s">
        <v>1791</v>
      </c>
      <c r="AI1456" s="47" t="s">
        <v>1137</v>
      </c>
      <c r="AJ1456" s="47" t="s">
        <v>1137</v>
      </c>
      <c r="AK1456" s="47" t="s">
        <v>212</v>
      </c>
      <c r="AL1456" s="47" t="s">
        <v>188</v>
      </c>
      <c r="AM1456" s="47" t="s">
        <v>188</v>
      </c>
      <c r="AN1456" s="47" t="s">
        <v>212</v>
      </c>
      <c r="AO1456" s="47" t="s">
        <v>1155</v>
      </c>
      <c r="AP1456" s="47" t="s">
        <v>1155</v>
      </c>
      <c r="AQ1456" s="47" t="s">
        <v>212</v>
      </c>
      <c r="AR1456" s="47" t="s">
        <v>147</v>
      </c>
      <c r="AS1456" s="47">
        <v>4</v>
      </c>
      <c r="AT1456" s="47">
        <v>4</v>
      </c>
      <c r="AU1456" s="47" t="s">
        <v>379</v>
      </c>
      <c r="BG1456" s="47">
        <v>1.45</v>
      </c>
      <c r="BH1456" s="47">
        <v>1.44</v>
      </c>
      <c r="BJ1456" s="47">
        <v>3.5</v>
      </c>
      <c r="BK1456" s="47">
        <v>3.6</v>
      </c>
      <c r="BL1456" s="47" t="s">
        <v>1157</v>
      </c>
      <c r="BM1456" s="47">
        <v>17.600000000000001</v>
      </c>
      <c r="BN1456" s="47">
        <v>26.7</v>
      </c>
      <c r="BO1456" s="47" t="s">
        <v>1160</v>
      </c>
      <c r="CN1456" s="47">
        <v>1.629</v>
      </c>
      <c r="CO1456" s="47">
        <v>1.744</v>
      </c>
      <c r="CP1456" s="47" t="s">
        <v>1161</v>
      </c>
      <c r="FT1456" s="47">
        <v>67</v>
      </c>
    </row>
    <row r="1457" spans="1:176" s="26" customFormat="1" x14ac:dyDescent="0.25">
      <c r="A1457" s="26">
        <v>67</v>
      </c>
      <c r="B1457" s="26" t="s">
        <v>1152</v>
      </c>
      <c r="C1457" s="26" t="s">
        <v>1153</v>
      </c>
      <c r="D1457" s="26">
        <v>2006</v>
      </c>
      <c r="E1457" s="26">
        <v>2002</v>
      </c>
      <c r="F1457" s="26" t="s">
        <v>180</v>
      </c>
      <c r="G1457" s="26" t="s">
        <v>1154</v>
      </c>
      <c r="H1457" s="26">
        <v>40.1</v>
      </c>
      <c r="I1457" s="26">
        <v>-88.25</v>
      </c>
      <c r="J1457" s="26">
        <v>235.6</v>
      </c>
      <c r="P1457" s="52">
        <v>1</v>
      </c>
      <c r="Q1457" s="52" t="s">
        <v>994</v>
      </c>
      <c r="R1457" s="52" t="s">
        <v>1156</v>
      </c>
      <c r="S1457" s="52" t="s">
        <v>1570</v>
      </c>
      <c r="T1457" s="52" t="s">
        <v>1570</v>
      </c>
      <c r="U1457" s="52" t="s">
        <v>1565</v>
      </c>
      <c r="V1457" s="52" t="s">
        <v>1910</v>
      </c>
      <c r="Z1457" s="26" t="s">
        <v>167</v>
      </c>
      <c r="AD1457" s="26" t="s">
        <v>1481</v>
      </c>
      <c r="AE1457" s="26" t="s">
        <v>281</v>
      </c>
      <c r="AF1457" s="152" t="s">
        <v>666</v>
      </c>
      <c r="AG1457" s="26" t="s">
        <v>160</v>
      </c>
      <c r="AH1457" s="154" t="s">
        <v>1791</v>
      </c>
      <c r="AI1457" s="26" t="s">
        <v>1137</v>
      </c>
      <c r="AJ1457" s="26" t="s">
        <v>1137</v>
      </c>
      <c r="AK1457" s="26" t="s">
        <v>212</v>
      </c>
      <c r="AL1457" s="26" t="s">
        <v>188</v>
      </c>
      <c r="AM1457" s="26" t="s">
        <v>188</v>
      </c>
      <c r="AN1457" s="26" t="s">
        <v>212</v>
      </c>
      <c r="AO1457" s="26" t="s">
        <v>1155</v>
      </c>
      <c r="AP1457" s="26" t="s">
        <v>1155</v>
      </c>
      <c r="AQ1457" s="26" t="s">
        <v>212</v>
      </c>
      <c r="AR1457" s="26" t="s">
        <v>147</v>
      </c>
      <c r="AS1457" s="26">
        <v>4</v>
      </c>
      <c r="AT1457" s="26">
        <v>4</v>
      </c>
      <c r="AU1457" s="26" t="s">
        <v>379</v>
      </c>
      <c r="BG1457" s="26">
        <v>1.32</v>
      </c>
      <c r="BH1457" s="26">
        <v>1.23</v>
      </c>
      <c r="BJ1457" s="26">
        <v>4.2</v>
      </c>
      <c r="BK1457" s="26">
        <v>4.5</v>
      </c>
      <c r="BL1457" s="26" t="s">
        <v>1157</v>
      </c>
      <c r="BM1457" s="26">
        <v>27.7</v>
      </c>
      <c r="BN1457" s="26">
        <v>21.8</v>
      </c>
      <c r="BO1457" s="26" t="s">
        <v>1160</v>
      </c>
      <c r="CN1457" s="26">
        <v>1.4119999999999999</v>
      </c>
      <c r="CO1457" s="26">
        <v>1.006</v>
      </c>
      <c r="CP1457" s="26" t="s">
        <v>1161</v>
      </c>
      <c r="FT1457" s="26">
        <v>67</v>
      </c>
    </row>
    <row r="1458" spans="1:176" s="26" customFormat="1" x14ac:dyDescent="0.25">
      <c r="A1458" s="26">
        <v>67</v>
      </c>
      <c r="B1458" s="26" t="s">
        <v>1152</v>
      </c>
      <c r="C1458" s="26" t="s">
        <v>1153</v>
      </c>
      <c r="D1458" s="26">
        <v>2006</v>
      </c>
      <c r="E1458" s="26">
        <v>2002</v>
      </c>
      <c r="F1458" s="26" t="s">
        <v>180</v>
      </c>
      <c r="G1458" s="26" t="s">
        <v>1154</v>
      </c>
      <c r="H1458" s="26">
        <v>40.1</v>
      </c>
      <c r="I1458" s="26">
        <v>-88.25</v>
      </c>
      <c r="J1458" s="26">
        <v>235.6</v>
      </c>
      <c r="P1458" s="52">
        <v>1</v>
      </c>
      <c r="Q1458" s="52" t="s">
        <v>994</v>
      </c>
      <c r="R1458" s="52" t="s">
        <v>1156</v>
      </c>
      <c r="S1458" s="52" t="s">
        <v>1577</v>
      </c>
      <c r="T1458" s="52" t="s">
        <v>1570</v>
      </c>
      <c r="U1458" s="52" t="s">
        <v>1565</v>
      </c>
      <c r="V1458" s="52" t="s">
        <v>1910</v>
      </c>
      <c r="Z1458" s="26" t="s">
        <v>167</v>
      </c>
      <c r="AD1458" s="26" t="s">
        <v>1481</v>
      </c>
      <c r="AE1458" s="26" t="s">
        <v>281</v>
      </c>
      <c r="AF1458" s="152" t="s">
        <v>666</v>
      </c>
      <c r="AG1458" s="26" t="s">
        <v>160</v>
      </c>
      <c r="AH1458" s="154" t="s">
        <v>1791</v>
      </c>
      <c r="AI1458" s="26" t="s">
        <v>1137</v>
      </c>
      <c r="AJ1458" s="26" t="s">
        <v>1137</v>
      </c>
      <c r="AK1458" s="26" t="s">
        <v>212</v>
      </c>
      <c r="AL1458" s="26" t="s">
        <v>188</v>
      </c>
      <c r="AM1458" s="26" t="s">
        <v>188</v>
      </c>
      <c r="AN1458" s="26" t="s">
        <v>212</v>
      </c>
      <c r="AO1458" s="26" t="s">
        <v>1155</v>
      </c>
      <c r="AP1458" s="26" t="s">
        <v>1155</v>
      </c>
      <c r="AQ1458" s="26" t="s">
        <v>212</v>
      </c>
      <c r="AR1458" s="26" t="s">
        <v>147</v>
      </c>
      <c r="AS1458" s="26">
        <v>4</v>
      </c>
      <c r="AT1458" s="26">
        <v>4</v>
      </c>
      <c r="AU1458" s="26" t="s">
        <v>379</v>
      </c>
      <c r="BG1458" s="26">
        <v>1.4</v>
      </c>
      <c r="BH1458" s="26">
        <v>1.35</v>
      </c>
      <c r="BJ1458" s="26">
        <v>3.3</v>
      </c>
      <c r="BK1458" s="26">
        <v>3.6</v>
      </c>
      <c r="BL1458" s="26" t="s">
        <v>1157</v>
      </c>
      <c r="BM1458" s="26">
        <v>24.8</v>
      </c>
      <c r="BN1458" s="26">
        <v>17.5</v>
      </c>
      <c r="BO1458" s="26" t="s">
        <v>1160</v>
      </c>
      <c r="CN1458" s="26">
        <v>1.84</v>
      </c>
      <c r="CO1458" s="26">
        <v>1.7410000000000001</v>
      </c>
      <c r="CP1458" s="26" t="s">
        <v>1161</v>
      </c>
      <c r="FT1458" s="26">
        <v>67</v>
      </c>
    </row>
    <row r="1459" spans="1:176" s="26" customFormat="1" x14ac:dyDescent="0.25">
      <c r="A1459" s="26">
        <v>67</v>
      </c>
      <c r="B1459" s="26" t="s">
        <v>1152</v>
      </c>
      <c r="C1459" s="26" t="s">
        <v>1153</v>
      </c>
      <c r="D1459" s="26">
        <v>2006</v>
      </c>
      <c r="E1459" s="26">
        <v>2002</v>
      </c>
      <c r="F1459" s="26" t="s">
        <v>180</v>
      </c>
      <c r="G1459" s="26" t="s">
        <v>1154</v>
      </c>
      <c r="H1459" s="26">
        <v>40.1</v>
      </c>
      <c r="I1459" s="26">
        <v>-88.25</v>
      </c>
      <c r="J1459" s="26">
        <v>235.6</v>
      </c>
      <c r="P1459" s="52">
        <v>1</v>
      </c>
      <c r="Q1459" s="52" t="s">
        <v>994</v>
      </c>
      <c r="R1459" s="52" t="s">
        <v>1156</v>
      </c>
      <c r="S1459" s="52" t="s">
        <v>1585</v>
      </c>
      <c r="T1459" s="52" t="s">
        <v>1570</v>
      </c>
      <c r="U1459" s="52" t="s">
        <v>1565</v>
      </c>
      <c r="V1459" s="52" t="s">
        <v>1910</v>
      </c>
      <c r="Z1459" s="26" t="s">
        <v>167</v>
      </c>
      <c r="AD1459" s="26" t="s">
        <v>1481</v>
      </c>
      <c r="AE1459" s="26" t="s">
        <v>281</v>
      </c>
      <c r="AF1459" s="152" t="s">
        <v>666</v>
      </c>
      <c r="AG1459" s="26" t="s">
        <v>160</v>
      </c>
      <c r="AH1459" s="154" t="s">
        <v>1791</v>
      </c>
      <c r="AI1459" s="26" t="s">
        <v>1137</v>
      </c>
      <c r="AJ1459" s="26" t="s">
        <v>1137</v>
      </c>
      <c r="AK1459" s="26" t="s">
        <v>212</v>
      </c>
      <c r="AL1459" s="26" t="s">
        <v>188</v>
      </c>
      <c r="AM1459" s="26" t="s">
        <v>188</v>
      </c>
      <c r="AN1459" s="26" t="s">
        <v>212</v>
      </c>
      <c r="AO1459" s="26" t="s">
        <v>1155</v>
      </c>
      <c r="AP1459" s="26" t="s">
        <v>1155</v>
      </c>
      <c r="AQ1459" s="26" t="s">
        <v>212</v>
      </c>
      <c r="AR1459" s="26" t="s">
        <v>147</v>
      </c>
      <c r="AS1459" s="26">
        <v>4</v>
      </c>
      <c r="AT1459" s="26">
        <v>4</v>
      </c>
      <c r="AU1459" s="26" t="s">
        <v>379</v>
      </c>
      <c r="BG1459" s="26">
        <v>1.45</v>
      </c>
      <c r="BH1459" s="26">
        <v>1.5</v>
      </c>
      <c r="BJ1459" s="26">
        <v>3.1</v>
      </c>
      <c r="BK1459" s="26">
        <v>3.4</v>
      </c>
      <c r="BL1459" s="26" t="s">
        <v>1157</v>
      </c>
      <c r="BM1459" s="26">
        <v>32.700000000000003</v>
      </c>
      <c r="BN1459" s="26">
        <v>15.9</v>
      </c>
      <c r="BO1459" s="26" t="s">
        <v>1160</v>
      </c>
      <c r="CN1459" s="26">
        <v>1.744</v>
      </c>
      <c r="CO1459" s="26">
        <v>1.859</v>
      </c>
      <c r="CP1459" s="26" t="s">
        <v>1161</v>
      </c>
      <c r="FT1459" s="26">
        <v>67</v>
      </c>
    </row>
    <row r="1460" spans="1:176" s="26" customFormat="1" x14ac:dyDescent="0.25">
      <c r="A1460" s="26">
        <v>67</v>
      </c>
      <c r="B1460" s="26" t="s">
        <v>1152</v>
      </c>
      <c r="C1460" s="26" t="s">
        <v>1153</v>
      </c>
      <c r="D1460" s="26">
        <v>2006</v>
      </c>
      <c r="E1460" s="26">
        <v>2002</v>
      </c>
      <c r="F1460" s="26" t="s">
        <v>180</v>
      </c>
      <c r="G1460" s="26" t="s">
        <v>1154</v>
      </c>
      <c r="H1460" s="26">
        <v>40.1</v>
      </c>
      <c r="I1460" s="26">
        <v>-88.25</v>
      </c>
      <c r="J1460" s="26">
        <v>235.6</v>
      </c>
      <c r="P1460" s="52">
        <v>1</v>
      </c>
      <c r="Q1460" s="52" t="s">
        <v>994</v>
      </c>
      <c r="R1460" s="52" t="s">
        <v>1156</v>
      </c>
      <c r="S1460" s="52" t="s">
        <v>1566</v>
      </c>
      <c r="T1460" s="52" t="s">
        <v>1570</v>
      </c>
      <c r="U1460" s="52" t="s">
        <v>1565</v>
      </c>
      <c r="V1460" s="52" t="s">
        <v>1905</v>
      </c>
      <c r="Z1460" s="26" t="s">
        <v>167</v>
      </c>
      <c r="AD1460" s="26" t="s">
        <v>1481</v>
      </c>
      <c r="AE1460" s="26" t="s">
        <v>281</v>
      </c>
      <c r="AF1460" s="152" t="s">
        <v>666</v>
      </c>
      <c r="AG1460" s="26" t="s">
        <v>160</v>
      </c>
      <c r="AH1460" s="154" t="s">
        <v>1791</v>
      </c>
      <c r="AI1460" s="26" t="s">
        <v>1137</v>
      </c>
      <c r="AJ1460" s="26" t="s">
        <v>1137</v>
      </c>
      <c r="AK1460" s="26" t="s">
        <v>212</v>
      </c>
      <c r="AL1460" s="26" t="s">
        <v>188</v>
      </c>
      <c r="AM1460" s="26" t="s">
        <v>188</v>
      </c>
      <c r="AN1460" s="26" t="s">
        <v>212</v>
      </c>
      <c r="AO1460" s="26" t="s">
        <v>1155</v>
      </c>
      <c r="AP1460" s="26" t="s">
        <v>1155</v>
      </c>
      <c r="AQ1460" s="26" t="s">
        <v>212</v>
      </c>
      <c r="AR1460" s="26" t="s">
        <v>147</v>
      </c>
      <c r="AS1460" s="26">
        <v>4</v>
      </c>
      <c r="AT1460" s="26">
        <v>4</v>
      </c>
      <c r="AU1460" s="26" t="s">
        <v>379</v>
      </c>
      <c r="BG1460" s="26">
        <v>1.45</v>
      </c>
      <c r="BH1460" s="26">
        <v>1.42</v>
      </c>
      <c r="BJ1460" s="26">
        <v>3.5</v>
      </c>
      <c r="BK1460" s="26">
        <v>3.7</v>
      </c>
      <c r="BL1460" s="26" t="s">
        <v>1157</v>
      </c>
      <c r="BM1460" s="26">
        <v>17.600000000000001</v>
      </c>
      <c r="BN1460" s="26">
        <v>17.399999999999999</v>
      </c>
      <c r="BO1460" s="26" t="s">
        <v>1160</v>
      </c>
      <c r="CN1460" s="26">
        <v>1.629</v>
      </c>
      <c r="CO1460" s="26">
        <v>1.756</v>
      </c>
      <c r="CP1460" s="26" t="s">
        <v>1161</v>
      </c>
      <c r="FT1460" s="26">
        <v>67</v>
      </c>
    </row>
    <row r="1461" spans="1:176" s="47" customFormat="1" x14ac:dyDescent="0.25">
      <c r="A1461" s="47">
        <v>67</v>
      </c>
      <c r="B1461" s="47" t="s">
        <v>1152</v>
      </c>
      <c r="C1461" s="47" t="s">
        <v>1153</v>
      </c>
      <c r="D1461" s="47">
        <v>2006</v>
      </c>
      <c r="E1461" s="47">
        <v>2002</v>
      </c>
      <c r="F1461" s="47" t="s">
        <v>180</v>
      </c>
      <c r="G1461" s="47" t="s">
        <v>1154</v>
      </c>
      <c r="H1461" s="47">
        <v>40.1</v>
      </c>
      <c r="I1461" s="47">
        <v>-88.25</v>
      </c>
      <c r="J1461" s="47">
        <v>235.6</v>
      </c>
      <c r="P1461" s="82">
        <v>1</v>
      </c>
      <c r="Q1461" s="82" t="s">
        <v>994</v>
      </c>
      <c r="R1461" s="82" t="s">
        <v>1156</v>
      </c>
      <c r="S1461" s="82" t="s">
        <v>1570</v>
      </c>
      <c r="T1461" s="82" t="s">
        <v>1570</v>
      </c>
      <c r="U1461" s="82" t="s">
        <v>1565</v>
      </c>
      <c r="V1461" s="82" t="s">
        <v>1910</v>
      </c>
      <c r="Z1461" s="47" t="s">
        <v>167</v>
      </c>
      <c r="AD1461" s="47" t="s">
        <v>1481</v>
      </c>
      <c r="AE1461" s="47" t="s">
        <v>1698</v>
      </c>
      <c r="AF1461" s="152" t="s">
        <v>1762</v>
      </c>
      <c r="AG1461" s="47" t="s">
        <v>160</v>
      </c>
      <c r="AH1461" s="154" t="s">
        <v>1791</v>
      </c>
      <c r="AI1461" s="47" t="s">
        <v>1137</v>
      </c>
      <c r="AJ1461" s="47" t="s">
        <v>1137</v>
      </c>
      <c r="AK1461" s="47" t="s">
        <v>212</v>
      </c>
      <c r="AL1461" s="47" t="s">
        <v>188</v>
      </c>
      <c r="AM1461" s="47" t="s">
        <v>188</v>
      </c>
      <c r="AN1461" s="47" t="s">
        <v>212</v>
      </c>
      <c r="AO1461" s="47" t="s">
        <v>1155</v>
      </c>
      <c r="AP1461" s="47" t="s">
        <v>1155</v>
      </c>
      <c r="AQ1461" s="47" t="s">
        <v>212</v>
      </c>
      <c r="AR1461" s="47" t="s">
        <v>147</v>
      </c>
      <c r="AS1461" s="47">
        <v>4</v>
      </c>
      <c r="AT1461" s="47">
        <v>4</v>
      </c>
      <c r="AU1461" s="47" t="s">
        <v>379</v>
      </c>
      <c r="BG1461" s="47">
        <v>1.32</v>
      </c>
      <c r="BH1461" s="47">
        <v>1.23</v>
      </c>
      <c r="BJ1461" s="47">
        <v>4.2</v>
      </c>
      <c r="BK1461" s="47">
        <v>4.7</v>
      </c>
      <c r="BL1461" s="47" t="s">
        <v>1157</v>
      </c>
      <c r="BM1461" s="47">
        <v>27.7</v>
      </c>
      <c r="BN1461" s="47">
        <v>21.5</v>
      </c>
      <c r="BO1461" s="47" t="s">
        <v>1160</v>
      </c>
      <c r="CN1461" s="47">
        <v>1.4119999999999999</v>
      </c>
      <c r="CO1461" s="47">
        <v>1.2030000000000001</v>
      </c>
      <c r="CP1461" s="47" t="s">
        <v>1161</v>
      </c>
      <c r="FT1461" s="47">
        <v>67</v>
      </c>
    </row>
    <row r="1462" spans="1:176" s="47" customFormat="1" x14ac:dyDescent="0.25">
      <c r="A1462" s="47">
        <v>67</v>
      </c>
      <c r="B1462" s="47" t="s">
        <v>1152</v>
      </c>
      <c r="C1462" s="47" t="s">
        <v>1153</v>
      </c>
      <c r="D1462" s="47">
        <v>2006</v>
      </c>
      <c r="E1462" s="47">
        <v>2002</v>
      </c>
      <c r="F1462" s="47" t="s">
        <v>180</v>
      </c>
      <c r="G1462" s="47" t="s">
        <v>1154</v>
      </c>
      <c r="H1462" s="47">
        <v>40.1</v>
      </c>
      <c r="I1462" s="47">
        <v>-88.25</v>
      </c>
      <c r="J1462" s="47">
        <v>235.6</v>
      </c>
      <c r="P1462" s="82">
        <v>1</v>
      </c>
      <c r="Q1462" s="82" t="s">
        <v>994</v>
      </c>
      <c r="R1462" s="82" t="s">
        <v>1156</v>
      </c>
      <c r="S1462" s="82" t="s">
        <v>1577</v>
      </c>
      <c r="T1462" s="82" t="s">
        <v>1570</v>
      </c>
      <c r="U1462" s="82" t="s">
        <v>1565</v>
      </c>
      <c r="V1462" s="82" t="s">
        <v>1910</v>
      </c>
      <c r="Z1462" s="47" t="s">
        <v>167</v>
      </c>
      <c r="AD1462" s="47" t="s">
        <v>1481</v>
      </c>
      <c r="AE1462" s="47" t="s">
        <v>1698</v>
      </c>
      <c r="AF1462" s="152" t="s">
        <v>1762</v>
      </c>
      <c r="AG1462" s="47" t="s">
        <v>160</v>
      </c>
      <c r="AH1462" s="154" t="s">
        <v>1791</v>
      </c>
      <c r="AI1462" s="47" t="s">
        <v>1137</v>
      </c>
      <c r="AJ1462" s="47" t="s">
        <v>1137</v>
      </c>
      <c r="AK1462" s="47" t="s">
        <v>212</v>
      </c>
      <c r="AL1462" s="47" t="s">
        <v>188</v>
      </c>
      <c r="AM1462" s="47" t="s">
        <v>188</v>
      </c>
      <c r="AN1462" s="47" t="s">
        <v>212</v>
      </c>
      <c r="AO1462" s="47" t="s">
        <v>1155</v>
      </c>
      <c r="AP1462" s="47" t="s">
        <v>1155</v>
      </c>
      <c r="AQ1462" s="47" t="s">
        <v>212</v>
      </c>
      <c r="AR1462" s="47" t="s">
        <v>147</v>
      </c>
      <c r="AS1462" s="47">
        <v>4</v>
      </c>
      <c r="AT1462" s="47">
        <v>4</v>
      </c>
      <c r="AU1462" s="47" t="s">
        <v>379</v>
      </c>
      <c r="BG1462" s="47">
        <v>1.4</v>
      </c>
      <c r="BH1462" s="47">
        <v>1.36</v>
      </c>
      <c r="BJ1462" s="47">
        <v>3.3</v>
      </c>
      <c r="BK1462" s="47">
        <v>3.8</v>
      </c>
      <c r="BL1462" s="47" t="s">
        <v>1157</v>
      </c>
      <c r="BM1462" s="47">
        <v>24.8</v>
      </c>
      <c r="BN1462" s="47">
        <v>28.6</v>
      </c>
      <c r="BO1462" s="47" t="s">
        <v>1160</v>
      </c>
      <c r="CN1462" s="47">
        <v>1.84</v>
      </c>
      <c r="CO1462" s="47">
        <v>1.7809999999999999</v>
      </c>
      <c r="CP1462" s="47" t="s">
        <v>1161</v>
      </c>
      <c r="FT1462" s="47">
        <v>67</v>
      </c>
    </row>
    <row r="1463" spans="1:176" s="47" customFormat="1" x14ac:dyDescent="0.25">
      <c r="A1463" s="47">
        <v>67</v>
      </c>
      <c r="B1463" s="47" t="s">
        <v>1152</v>
      </c>
      <c r="C1463" s="47" t="s">
        <v>1153</v>
      </c>
      <c r="D1463" s="47">
        <v>2006</v>
      </c>
      <c r="E1463" s="47">
        <v>2002</v>
      </c>
      <c r="F1463" s="47" t="s">
        <v>180</v>
      </c>
      <c r="G1463" s="47" t="s">
        <v>1154</v>
      </c>
      <c r="H1463" s="47">
        <v>40.1</v>
      </c>
      <c r="I1463" s="47">
        <v>-88.25</v>
      </c>
      <c r="J1463" s="47">
        <v>235.6</v>
      </c>
      <c r="P1463" s="82">
        <v>1</v>
      </c>
      <c r="Q1463" s="82" t="s">
        <v>994</v>
      </c>
      <c r="R1463" s="82" t="s">
        <v>1156</v>
      </c>
      <c r="S1463" s="82" t="s">
        <v>1585</v>
      </c>
      <c r="T1463" s="82" t="s">
        <v>1570</v>
      </c>
      <c r="U1463" s="82" t="s">
        <v>1565</v>
      </c>
      <c r="V1463" s="82" t="s">
        <v>1910</v>
      </c>
      <c r="Z1463" s="47" t="s">
        <v>167</v>
      </c>
      <c r="AD1463" s="47" t="s">
        <v>1481</v>
      </c>
      <c r="AE1463" s="47" t="s">
        <v>1698</v>
      </c>
      <c r="AF1463" s="152" t="s">
        <v>1762</v>
      </c>
      <c r="AG1463" s="47" t="s">
        <v>160</v>
      </c>
      <c r="AH1463" s="154" t="s">
        <v>1791</v>
      </c>
      <c r="AI1463" s="47" t="s">
        <v>1137</v>
      </c>
      <c r="AJ1463" s="47" t="s">
        <v>1137</v>
      </c>
      <c r="AK1463" s="47" t="s">
        <v>212</v>
      </c>
      <c r="AL1463" s="47" t="s">
        <v>188</v>
      </c>
      <c r="AM1463" s="47" t="s">
        <v>188</v>
      </c>
      <c r="AN1463" s="47" t="s">
        <v>212</v>
      </c>
      <c r="AO1463" s="47" t="s">
        <v>1155</v>
      </c>
      <c r="AP1463" s="47" t="s">
        <v>1155</v>
      </c>
      <c r="AQ1463" s="47" t="s">
        <v>212</v>
      </c>
      <c r="AR1463" s="47" t="s">
        <v>147</v>
      </c>
      <c r="AS1463" s="47">
        <v>4</v>
      </c>
      <c r="AT1463" s="47">
        <v>4</v>
      </c>
      <c r="AU1463" s="47" t="s">
        <v>379</v>
      </c>
      <c r="BG1463" s="47">
        <v>1.45</v>
      </c>
      <c r="BH1463" s="47">
        <v>1.43</v>
      </c>
      <c r="BJ1463" s="47">
        <v>3.1</v>
      </c>
      <c r="BK1463" s="47">
        <v>3.6</v>
      </c>
      <c r="BL1463" s="47" t="s">
        <v>1157</v>
      </c>
      <c r="BM1463" s="47">
        <v>32.700000000000003</v>
      </c>
      <c r="BN1463" s="47">
        <v>29.9</v>
      </c>
      <c r="BO1463" s="47" t="s">
        <v>1160</v>
      </c>
      <c r="CN1463" s="47">
        <v>1.744</v>
      </c>
      <c r="CO1463" s="47">
        <v>1.867</v>
      </c>
      <c r="CP1463" s="47" t="s">
        <v>1161</v>
      </c>
      <c r="FT1463" s="47">
        <v>67</v>
      </c>
    </row>
    <row r="1464" spans="1:176" s="47" customFormat="1" x14ac:dyDescent="0.25">
      <c r="A1464" s="47">
        <v>67</v>
      </c>
      <c r="B1464" s="47" t="s">
        <v>1152</v>
      </c>
      <c r="C1464" s="47" t="s">
        <v>1153</v>
      </c>
      <c r="D1464" s="47">
        <v>2006</v>
      </c>
      <c r="E1464" s="47">
        <v>2002</v>
      </c>
      <c r="F1464" s="47" t="s">
        <v>180</v>
      </c>
      <c r="G1464" s="47" t="s">
        <v>1154</v>
      </c>
      <c r="H1464" s="47">
        <v>40.1</v>
      </c>
      <c r="I1464" s="47">
        <v>-88.25</v>
      </c>
      <c r="J1464" s="47">
        <v>235.6</v>
      </c>
      <c r="P1464" s="82">
        <v>1</v>
      </c>
      <c r="Q1464" s="82" t="s">
        <v>994</v>
      </c>
      <c r="R1464" s="82" t="s">
        <v>1156</v>
      </c>
      <c r="S1464" s="82" t="s">
        <v>1566</v>
      </c>
      <c r="T1464" s="82" t="s">
        <v>1570</v>
      </c>
      <c r="U1464" s="82" t="s">
        <v>1565</v>
      </c>
      <c r="V1464" s="82" t="s">
        <v>1905</v>
      </c>
      <c r="Z1464" s="47" t="s">
        <v>167</v>
      </c>
      <c r="AD1464" s="47" t="s">
        <v>1481</v>
      </c>
      <c r="AE1464" s="47" t="s">
        <v>1698</v>
      </c>
      <c r="AF1464" s="152" t="s">
        <v>1762</v>
      </c>
      <c r="AG1464" s="47" t="s">
        <v>160</v>
      </c>
      <c r="AH1464" s="154" t="s">
        <v>1791</v>
      </c>
      <c r="AI1464" s="47" t="s">
        <v>1137</v>
      </c>
      <c r="AJ1464" s="47" t="s">
        <v>1137</v>
      </c>
      <c r="AK1464" s="47" t="s">
        <v>212</v>
      </c>
      <c r="AL1464" s="47" t="s">
        <v>188</v>
      </c>
      <c r="AM1464" s="47" t="s">
        <v>188</v>
      </c>
      <c r="AN1464" s="47" t="s">
        <v>212</v>
      </c>
      <c r="AO1464" s="47" t="s">
        <v>1155</v>
      </c>
      <c r="AP1464" s="47" t="s">
        <v>1155</v>
      </c>
      <c r="AQ1464" s="47" t="s">
        <v>212</v>
      </c>
      <c r="AR1464" s="47" t="s">
        <v>147</v>
      </c>
      <c r="AS1464" s="47">
        <v>4</v>
      </c>
      <c r="AT1464" s="47">
        <v>4</v>
      </c>
      <c r="AU1464" s="47" t="s">
        <v>379</v>
      </c>
      <c r="BG1464" s="47">
        <v>1.45</v>
      </c>
      <c r="BH1464" s="47">
        <v>1.39</v>
      </c>
      <c r="BJ1464" s="47">
        <v>3.5</v>
      </c>
      <c r="BK1464" s="47">
        <v>3.7</v>
      </c>
      <c r="BL1464" s="47" t="s">
        <v>1157</v>
      </c>
      <c r="BM1464" s="47">
        <v>17.600000000000001</v>
      </c>
      <c r="BN1464" s="47">
        <v>20.100000000000001</v>
      </c>
      <c r="BO1464" s="47" t="s">
        <v>1160</v>
      </c>
      <c r="CN1464" s="47">
        <v>1.629</v>
      </c>
      <c r="CO1464" s="47">
        <v>1.821</v>
      </c>
      <c r="CP1464" s="47" t="s">
        <v>1161</v>
      </c>
      <c r="FT1464" s="47">
        <v>67</v>
      </c>
    </row>
    <row r="1465" spans="1:176" s="35" customFormat="1" x14ac:dyDescent="0.25">
      <c r="A1465" s="35">
        <v>67</v>
      </c>
      <c r="B1465" s="35" t="s">
        <v>1152</v>
      </c>
      <c r="C1465" s="35" t="s">
        <v>1153</v>
      </c>
      <c r="D1465" s="35">
        <v>2006</v>
      </c>
      <c r="E1465" s="35">
        <v>2002</v>
      </c>
      <c r="F1465" s="35" t="s">
        <v>180</v>
      </c>
      <c r="G1465" s="35" t="s">
        <v>1154</v>
      </c>
      <c r="H1465" s="35">
        <v>40.1</v>
      </c>
      <c r="I1465" s="35">
        <v>-88.25</v>
      </c>
      <c r="J1465" s="35">
        <v>235.6</v>
      </c>
      <c r="P1465" s="54">
        <v>1</v>
      </c>
      <c r="Q1465" s="54" t="s">
        <v>994</v>
      </c>
      <c r="R1465" s="54" t="s">
        <v>1159</v>
      </c>
      <c r="S1465" s="54" t="s">
        <v>1570</v>
      </c>
      <c r="T1465" s="52" t="s">
        <v>1570</v>
      </c>
      <c r="U1465" s="52" t="s">
        <v>1565</v>
      </c>
      <c r="V1465" s="52" t="s">
        <v>1910</v>
      </c>
      <c r="Z1465" s="35" t="s">
        <v>167</v>
      </c>
      <c r="AD1465" s="35" t="s">
        <v>1481</v>
      </c>
      <c r="AE1465" s="35" t="s">
        <v>159</v>
      </c>
      <c r="AF1465" s="152" t="s">
        <v>159</v>
      </c>
      <c r="AG1465" s="35" t="s">
        <v>190</v>
      </c>
      <c r="AH1465" s="154" t="s">
        <v>1791</v>
      </c>
      <c r="AI1465" s="35" t="s">
        <v>1137</v>
      </c>
      <c r="AJ1465" s="35" t="s">
        <v>1137</v>
      </c>
      <c r="AK1465" s="35" t="s">
        <v>212</v>
      </c>
      <c r="AL1465" s="35" t="s">
        <v>188</v>
      </c>
      <c r="AM1465" s="35" t="s">
        <v>188</v>
      </c>
      <c r="AN1465" s="35" t="s">
        <v>212</v>
      </c>
      <c r="AO1465" s="35" t="s">
        <v>1155</v>
      </c>
      <c r="AP1465" s="35" t="s">
        <v>1155</v>
      </c>
      <c r="AQ1465" s="35" t="s">
        <v>212</v>
      </c>
      <c r="AR1465" s="35" t="s">
        <v>147</v>
      </c>
      <c r="AS1465" s="35">
        <v>4</v>
      </c>
      <c r="AT1465" s="35">
        <v>4</v>
      </c>
      <c r="AU1465" s="35" t="s">
        <v>379</v>
      </c>
      <c r="BG1465" s="35">
        <v>1.32</v>
      </c>
      <c r="BH1465" s="35">
        <v>1.24</v>
      </c>
      <c r="BJ1465" s="35">
        <v>4</v>
      </c>
      <c r="BK1465" s="35">
        <v>4.4000000000000004</v>
      </c>
      <c r="BL1465" s="35" t="s">
        <v>1157</v>
      </c>
      <c r="BM1465" s="35">
        <v>13.3</v>
      </c>
      <c r="BN1465" s="35">
        <v>9.1999999999999993</v>
      </c>
      <c r="BO1465" s="35" t="s">
        <v>1160</v>
      </c>
      <c r="CN1465" s="35">
        <v>1.337</v>
      </c>
      <c r="CO1465" s="35">
        <v>1.198</v>
      </c>
      <c r="CP1465" s="35" t="s">
        <v>1161</v>
      </c>
      <c r="FT1465" s="35">
        <v>67</v>
      </c>
    </row>
    <row r="1466" spans="1:176" s="35" customFormat="1" x14ac:dyDescent="0.25">
      <c r="A1466" s="35">
        <v>67</v>
      </c>
      <c r="B1466" s="35" t="s">
        <v>1152</v>
      </c>
      <c r="C1466" s="35" t="s">
        <v>1153</v>
      </c>
      <c r="D1466" s="35">
        <v>2006</v>
      </c>
      <c r="E1466" s="35">
        <v>2002</v>
      </c>
      <c r="F1466" s="35" t="s">
        <v>180</v>
      </c>
      <c r="G1466" s="35" t="s">
        <v>1154</v>
      </c>
      <c r="H1466" s="35">
        <v>40.1</v>
      </c>
      <c r="I1466" s="35">
        <v>-88.25</v>
      </c>
      <c r="J1466" s="35">
        <v>235.6</v>
      </c>
      <c r="P1466" s="54">
        <v>1</v>
      </c>
      <c r="Q1466" s="54" t="s">
        <v>994</v>
      </c>
      <c r="R1466" s="54" t="s">
        <v>1159</v>
      </c>
      <c r="S1466" s="54" t="s">
        <v>1577</v>
      </c>
      <c r="T1466" s="52" t="s">
        <v>1570</v>
      </c>
      <c r="U1466" s="52" t="s">
        <v>1565</v>
      </c>
      <c r="V1466" s="52" t="s">
        <v>1910</v>
      </c>
      <c r="Z1466" s="35" t="s">
        <v>167</v>
      </c>
      <c r="AD1466" s="35" t="s">
        <v>1481</v>
      </c>
      <c r="AE1466" s="35" t="s">
        <v>159</v>
      </c>
      <c r="AF1466" s="152" t="s">
        <v>159</v>
      </c>
      <c r="AG1466" s="35" t="s">
        <v>190</v>
      </c>
      <c r="AH1466" s="154" t="s">
        <v>1791</v>
      </c>
      <c r="AI1466" s="35" t="s">
        <v>1137</v>
      </c>
      <c r="AJ1466" s="35" t="s">
        <v>1137</v>
      </c>
      <c r="AK1466" s="35" t="s">
        <v>212</v>
      </c>
      <c r="AL1466" s="35" t="s">
        <v>188</v>
      </c>
      <c r="AM1466" s="35" t="s">
        <v>188</v>
      </c>
      <c r="AN1466" s="35" t="s">
        <v>212</v>
      </c>
      <c r="AO1466" s="35" t="s">
        <v>1155</v>
      </c>
      <c r="AP1466" s="35" t="s">
        <v>1155</v>
      </c>
      <c r="AQ1466" s="35" t="s">
        <v>212</v>
      </c>
      <c r="AR1466" s="35" t="s">
        <v>147</v>
      </c>
      <c r="AS1466" s="35">
        <v>4</v>
      </c>
      <c r="AT1466" s="35">
        <v>4</v>
      </c>
      <c r="AU1466" s="35" t="s">
        <v>379</v>
      </c>
      <c r="BG1466" s="35">
        <v>1.4</v>
      </c>
      <c r="BH1466" s="35">
        <v>1.38</v>
      </c>
      <c r="BJ1466" s="35">
        <v>3.2</v>
      </c>
      <c r="BK1466" s="35">
        <v>3.4</v>
      </c>
      <c r="BL1466" s="35" t="s">
        <v>1157</v>
      </c>
      <c r="BM1466" s="35">
        <v>11.1</v>
      </c>
      <c r="BN1466" s="35">
        <v>14.6</v>
      </c>
      <c r="BO1466" s="35" t="s">
        <v>1160</v>
      </c>
      <c r="CN1466" s="35">
        <v>1.835</v>
      </c>
      <c r="CO1466" s="35">
        <v>1.784</v>
      </c>
      <c r="CP1466" s="35" t="s">
        <v>1161</v>
      </c>
      <c r="FT1466" s="35">
        <v>67</v>
      </c>
    </row>
    <row r="1467" spans="1:176" s="35" customFormat="1" x14ac:dyDescent="0.25">
      <c r="A1467" s="35">
        <v>67</v>
      </c>
      <c r="B1467" s="35" t="s">
        <v>1152</v>
      </c>
      <c r="C1467" s="35" t="s">
        <v>1153</v>
      </c>
      <c r="D1467" s="35">
        <v>2006</v>
      </c>
      <c r="E1467" s="35">
        <v>2002</v>
      </c>
      <c r="F1467" s="35" t="s">
        <v>180</v>
      </c>
      <c r="G1467" s="35" t="s">
        <v>1154</v>
      </c>
      <c r="H1467" s="35">
        <v>40.1</v>
      </c>
      <c r="I1467" s="35">
        <v>-88.25</v>
      </c>
      <c r="J1467" s="35">
        <v>235.6</v>
      </c>
      <c r="P1467" s="54">
        <v>1</v>
      </c>
      <c r="Q1467" s="54" t="s">
        <v>994</v>
      </c>
      <c r="R1467" s="54" t="s">
        <v>1159</v>
      </c>
      <c r="S1467" s="54" t="s">
        <v>1585</v>
      </c>
      <c r="T1467" s="52" t="s">
        <v>1570</v>
      </c>
      <c r="U1467" s="52" t="s">
        <v>1565</v>
      </c>
      <c r="V1467" s="52" t="s">
        <v>1910</v>
      </c>
      <c r="Z1467" s="35" t="s">
        <v>167</v>
      </c>
      <c r="AD1467" s="35" t="s">
        <v>1481</v>
      </c>
      <c r="AE1467" s="35" t="s">
        <v>159</v>
      </c>
      <c r="AF1467" s="152" t="s">
        <v>159</v>
      </c>
      <c r="AG1467" s="35" t="s">
        <v>190</v>
      </c>
      <c r="AH1467" s="154" t="s">
        <v>1791</v>
      </c>
      <c r="AI1467" s="35" t="s">
        <v>1137</v>
      </c>
      <c r="AJ1467" s="35" t="s">
        <v>1137</v>
      </c>
      <c r="AK1467" s="35" t="s">
        <v>212</v>
      </c>
      <c r="AL1467" s="35" t="s">
        <v>188</v>
      </c>
      <c r="AM1467" s="35" t="s">
        <v>188</v>
      </c>
      <c r="AN1467" s="35" t="s">
        <v>212</v>
      </c>
      <c r="AO1467" s="35" t="s">
        <v>1155</v>
      </c>
      <c r="AP1467" s="35" t="s">
        <v>1155</v>
      </c>
      <c r="AQ1467" s="35" t="s">
        <v>212</v>
      </c>
      <c r="AR1467" s="35" t="s">
        <v>147</v>
      </c>
      <c r="AS1467" s="35">
        <v>4</v>
      </c>
      <c r="AT1467" s="35">
        <v>4</v>
      </c>
      <c r="AU1467" s="35" t="s">
        <v>379</v>
      </c>
      <c r="BG1467" s="35">
        <v>1.45</v>
      </c>
      <c r="BH1467" s="35">
        <v>1.46</v>
      </c>
      <c r="BJ1467" s="35">
        <v>3.3</v>
      </c>
      <c r="BK1467" s="35">
        <v>3.3</v>
      </c>
      <c r="BL1467" s="35" t="s">
        <v>1157</v>
      </c>
      <c r="BM1467" s="35">
        <v>4.0999999999999996</v>
      </c>
      <c r="BN1467" s="35">
        <v>15.4</v>
      </c>
      <c r="BO1467" s="35" t="s">
        <v>1160</v>
      </c>
      <c r="CN1467" s="35">
        <v>1.7390000000000001</v>
      </c>
      <c r="CO1467" s="35">
        <v>1.8380000000000001</v>
      </c>
      <c r="CP1467" s="35" t="s">
        <v>1161</v>
      </c>
      <c r="FT1467" s="35">
        <v>67</v>
      </c>
    </row>
    <row r="1468" spans="1:176" s="35" customFormat="1" x14ac:dyDescent="0.25">
      <c r="A1468" s="35">
        <v>67</v>
      </c>
      <c r="B1468" s="35" t="s">
        <v>1152</v>
      </c>
      <c r="C1468" s="35" t="s">
        <v>1153</v>
      </c>
      <c r="D1468" s="35">
        <v>2006</v>
      </c>
      <c r="E1468" s="35">
        <v>2002</v>
      </c>
      <c r="F1468" s="35" t="s">
        <v>180</v>
      </c>
      <c r="G1468" s="35" t="s">
        <v>1154</v>
      </c>
      <c r="H1468" s="35">
        <v>40.1</v>
      </c>
      <c r="I1468" s="35">
        <v>-88.25</v>
      </c>
      <c r="J1468" s="35">
        <v>235.6</v>
      </c>
      <c r="P1468" s="54">
        <v>1</v>
      </c>
      <c r="Q1468" s="54" t="s">
        <v>994</v>
      </c>
      <c r="R1468" s="54" t="s">
        <v>1159</v>
      </c>
      <c r="S1468" s="54" t="s">
        <v>1566</v>
      </c>
      <c r="T1468" s="52" t="s">
        <v>1570</v>
      </c>
      <c r="U1468" s="52" t="s">
        <v>1565</v>
      </c>
      <c r="V1468" s="52" t="s">
        <v>1905</v>
      </c>
      <c r="Z1468" s="35" t="s">
        <v>167</v>
      </c>
      <c r="AD1468" s="35" t="s">
        <v>1481</v>
      </c>
      <c r="AE1468" s="35" t="s">
        <v>159</v>
      </c>
      <c r="AF1468" s="152" t="s">
        <v>159</v>
      </c>
      <c r="AG1468" s="35" t="s">
        <v>190</v>
      </c>
      <c r="AH1468" s="154" t="s">
        <v>1791</v>
      </c>
      <c r="AI1468" s="35" t="s">
        <v>1137</v>
      </c>
      <c r="AJ1468" s="35" t="s">
        <v>1137</v>
      </c>
      <c r="AK1468" s="35" t="s">
        <v>212</v>
      </c>
      <c r="AL1468" s="35" t="s">
        <v>188</v>
      </c>
      <c r="AM1468" s="35" t="s">
        <v>188</v>
      </c>
      <c r="AN1468" s="35" t="s">
        <v>212</v>
      </c>
      <c r="AO1468" s="35" t="s">
        <v>1155</v>
      </c>
      <c r="AP1468" s="35" t="s">
        <v>1155</v>
      </c>
      <c r="AQ1468" s="35" t="s">
        <v>212</v>
      </c>
      <c r="AR1468" s="35" t="s">
        <v>147</v>
      </c>
      <c r="AS1468" s="35">
        <v>4</v>
      </c>
      <c r="AT1468" s="35">
        <v>4</v>
      </c>
      <c r="AU1468" s="35" t="s">
        <v>379</v>
      </c>
      <c r="BG1468" s="35">
        <v>1.45</v>
      </c>
      <c r="BH1468" s="35">
        <v>1.44</v>
      </c>
      <c r="BJ1468" s="35">
        <v>3.7</v>
      </c>
      <c r="BK1468" s="35">
        <v>3.8</v>
      </c>
      <c r="BL1468" s="35" t="s">
        <v>1157</v>
      </c>
      <c r="BM1468" s="35">
        <v>12.2</v>
      </c>
      <c r="BN1468" s="35">
        <v>13</v>
      </c>
      <c r="BO1468" s="35" t="s">
        <v>1160</v>
      </c>
      <c r="CN1468" s="35">
        <v>1.6240000000000001</v>
      </c>
      <c r="CO1468" s="35">
        <v>1.845</v>
      </c>
      <c r="CP1468" s="35" t="s">
        <v>1161</v>
      </c>
      <c r="FT1468" s="35">
        <v>67</v>
      </c>
    </row>
    <row r="1469" spans="1:176" s="26" customFormat="1" x14ac:dyDescent="0.25">
      <c r="A1469" s="26">
        <v>67</v>
      </c>
      <c r="B1469" s="26" t="s">
        <v>1152</v>
      </c>
      <c r="C1469" s="26" t="s">
        <v>1153</v>
      </c>
      <c r="D1469" s="26">
        <v>2006</v>
      </c>
      <c r="E1469" s="26">
        <v>2002</v>
      </c>
      <c r="F1469" s="26" t="s">
        <v>180</v>
      </c>
      <c r="G1469" s="26" t="s">
        <v>1154</v>
      </c>
      <c r="H1469" s="26">
        <v>40.1</v>
      </c>
      <c r="I1469" s="26">
        <v>-88.25</v>
      </c>
      <c r="J1469" s="26">
        <v>235.6</v>
      </c>
      <c r="P1469" s="52">
        <v>1</v>
      </c>
      <c r="Q1469" s="52" t="s">
        <v>994</v>
      </c>
      <c r="R1469" s="52" t="s">
        <v>1159</v>
      </c>
      <c r="S1469" s="52" t="s">
        <v>1570</v>
      </c>
      <c r="T1469" s="52" t="s">
        <v>1570</v>
      </c>
      <c r="U1469" s="52" t="s">
        <v>1565</v>
      </c>
      <c r="V1469" s="52" t="s">
        <v>1910</v>
      </c>
      <c r="Z1469" s="26" t="s">
        <v>167</v>
      </c>
      <c r="AD1469" s="26" t="s">
        <v>1481</v>
      </c>
      <c r="AE1469" s="26" t="s">
        <v>281</v>
      </c>
      <c r="AF1469" s="152" t="s">
        <v>666</v>
      </c>
      <c r="AG1469" s="26" t="s">
        <v>190</v>
      </c>
      <c r="AH1469" s="154" t="s">
        <v>1791</v>
      </c>
      <c r="AI1469" s="26" t="s">
        <v>1137</v>
      </c>
      <c r="AJ1469" s="26" t="s">
        <v>1137</v>
      </c>
      <c r="AK1469" s="26" t="s">
        <v>212</v>
      </c>
      <c r="AL1469" s="26" t="s">
        <v>188</v>
      </c>
      <c r="AM1469" s="26" t="s">
        <v>188</v>
      </c>
      <c r="AN1469" s="26" t="s">
        <v>212</v>
      </c>
      <c r="AO1469" s="26" t="s">
        <v>1155</v>
      </c>
      <c r="AP1469" s="26" t="s">
        <v>1155</v>
      </c>
      <c r="AQ1469" s="26" t="s">
        <v>212</v>
      </c>
      <c r="AR1469" s="26" t="s">
        <v>147</v>
      </c>
      <c r="AS1469" s="26">
        <v>4</v>
      </c>
      <c r="AT1469" s="26">
        <v>4</v>
      </c>
      <c r="AU1469" s="26" t="s">
        <v>379</v>
      </c>
      <c r="BG1469" s="26">
        <v>1.32</v>
      </c>
      <c r="BH1469" s="26">
        <v>1.23</v>
      </c>
      <c r="BJ1469" s="26">
        <v>4</v>
      </c>
      <c r="BK1469" s="26">
        <v>4.5999999999999996</v>
      </c>
      <c r="BL1469" s="26" t="s">
        <v>1157</v>
      </c>
      <c r="BM1469" s="26">
        <v>13.3</v>
      </c>
      <c r="BN1469" s="26">
        <v>9.3000000000000007</v>
      </c>
      <c r="BO1469" s="26" t="s">
        <v>1160</v>
      </c>
      <c r="CN1469" s="26">
        <v>1.337</v>
      </c>
      <c r="CO1469" s="26">
        <v>1.51</v>
      </c>
      <c r="CP1469" s="26" t="s">
        <v>1161</v>
      </c>
      <c r="FT1469" s="26">
        <v>67</v>
      </c>
    </row>
    <row r="1470" spans="1:176" s="26" customFormat="1" x14ac:dyDescent="0.25">
      <c r="A1470" s="26">
        <v>67</v>
      </c>
      <c r="B1470" s="26" t="s">
        <v>1152</v>
      </c>
      <c r="C1470" s="26" t="s">
        <v>1153</v>
      </c>
      <c r="D1470" s="26">
        <v>2006</v>
      </c>
      <c r="E1470" s="26">
        <v>2002</v>
      </c>
      <c r="F1470" s="26" t="s">
        <v>180</v>
      </c>
      <c r="G1470" s="26" t="s">
        <v>1154</v>
      </c>
      <c r="H1470" s="26">
        <v>40.1</v>
      </c>
      <c r="I1470" s="26">
        <v>-88.25</v>
      </c>
      <c r="J1470" s="26">
        <v>235.6</v>
      </c>
      <c r="P1470" s="52">
        <v>1</v>
      </c>
      <c r="Q1470" s="52" t="s">
        <v>994</v>
      </c>
      <c r="R1470" s="52" t="s">
        <v>1159</v>
      </c>
      <c r="S1470" s="52" t="s">
        <v>1577</v>
      </c>
      <c r="T1470" s="52" t="s">
        <v>1570</v>
      </c>
      <c r="U1470" s="52" t="s">
        <v>1565</v>
      </c>
      <c r="V1470" s="52" t="s">
        <v>1910</v>
      </c>
      <c r="Z1470" s="26" t="s">
        <v>167</v>
      </c>
      <c r="AD1470" s="26" t="s">
        <v>1481</v>
      </c>
      <c r="AE1470" s="26" t="s">
        <v>281</v>
      </c>
      <c r="AF1470" s="152" t="s">
        <v>666</v>
      </c>
      <c r="AG1470" s="26" t="s">
        <v>190</v>
      </c>
      <c r="AH1470" s="154" t="s">
        <v>1791</v>
      </c>
      <c r="AI1470" s="26" t="s">
        <v>1137</v>
      </c>
      <c r="AJ1470" s="26" t="s">
        <v>1137</v>
      </c>
      <c r="AK1470" s="26" t="s">
        <v>212</v>
      </c>
      <c r="AL1470" s="26" t="s">
        <v>188</v>
      </c>
      <c r="AM1470" s="26" t="s">
        <v>188</v>
      </c>
      <c r="AN1470" s="26" t="s">
        <v>212</v>
      </c>
      <c r="AO1470" s="26" t="s">
        <v>1155</v>
      </c>
      <c r="AP1470" s="26" t="s">
        <v>1155</v>
      </c>
      <c r="AQ1470" s="26" t="s">
        <v>212</v>
      </c>
      <c r="AR1470" s="26" t="s">
        <v>147</v>
      </c>
      <c r="AS1470" s="26">
        <v>4</v>
      </c>
      <c r="AT1470" s="26">
        <v>4</v>
      </c>
      <c r="AU1470" s="26" t="s">
        <v>379</v>
      </c>
      <c r="BG1470" s="26">
        <v>1.4</v>
      </c>
      <c r="BH1470" s="26">
        <v>1.35</v>
      </c>
      <c r="BJ1470" s="26">
        <v>3.2</v>
      </c>
      <c r="BK1470" s="26">
        <v>3.5</v>
      </c>
      <c r="BL1470" s="26" t="s">
        <v>1157</v>
      </c>
      <c r="BM1470" s="26">
        <v>11.1</v>
      </c>
      <c r="BN1470" s="26">
        <v>12.9</v>
      </c>
      <c r="BO1470" s="26" t="s">
        <v>1160</v>
      </c>
      <c r="CN1470" s="26">
        <v>1.835</v>
      </c>
      <c r="CO1470" s="26">
        <v>2.1019999999999999</v>
      </c>
      <c r="CP1470" s="26" t="s">
        <v>1161</v>
      </c>
      <c r="FT1470" s="26">
        <v>67</v>
      </c>
    </row>
    <row r="1471" spans="1:176" s="26" customFormat="1" x14ac:dyDescent="0.25">
      <c r="A1471" s="26">
        <v>67</v>
      </c>
      <c r="B1471" s="26" t="s">
        <v>1152</v>
      </c>
      <c r="C1471" s="26" t="s">
        <v>1153</v>
      </c>
      <c r="D1471" s="26">
        <v>2006</v>
      </c>
      <c r="E1471" s="26">
        <v>2002</v>
      </c>
      <c r="F1471" s="26" t="s">
        <v>180</v>
      </c>
      <c r="G1471" s="26" t="s">
        <v>1154</v>
      </c>
      <c r="H1471" s="26">
        <v>40.1</v>
      </c>
      <c r="I1471" s="26">
        <v>-88.25</v>
      </c>
      <c r="J1471" s="26">
        <v>235.6</v>
      </c>
      <c r="P1471" s="52">
        <v>1</v>
      </c>
      <c r="Q1471" s="52" t="s">
        <v>994</v>
      </c>
      <c r="R1471" s="52" t="s">
        <v>1159</v>
      </c>
      <c r="S1471" s="52" t="s">
        <v>1585</v>
      </c>
      <c r="T1471" s="52" t="s">
        <v>1570</v>
      </c>
      <c r="U1471" s="52" t="s">
        <v>1565</v>
      </c>
      <c r="V1471" s="52" t="s">
        <v>1910</v>
      </c>
      <c r="Z1471" s="26" t="s">
        <v>167</v>
      </c>
      <c r="AD1471" s="26" t="s">
        <v>1481</v>
      </c>
      <c r="AE1471" s="26" t="s">
        <v>281</v>
      </c>
      <c r="AF1471" s="152" t="s">
        <v>666</v>
      </c>
      <c r="AG1471" s="26" t="s">
        <v>190</v>
      </c>
      <c r="AH1471" s="154" t="s">
        <v>1791</v>
      </c>
      <c r="AI1471" s="26" t="s">
        <v>1137</v>
      </c>
      <c r="AJ1471" s="26" t="s">
        <v>1137</v>
      </c>
      <c r="AK1471" s="26" t="s">
        <v>212</v>
      </c>
      <c r="AL1471" s="26" t="s">
        <v>188</v>
      </c>
      <c r="AM1471" s="26" t="s">
        <v>188</v>
      </c>
      <c r="AN1471" s="26" t="s">
        <v>212</v>
      </c>
      <c r="AO1471" s="26" t="s">
        <v>1155</v>
      </c>
      <c r="AP1471" s="26" t="s">
        <v>1155</v>
      </c>
      <c r="AQ1471" s="26" t="s">
        <v>212</v>
      </c>
      <c r="AR1471" s="26" t="s">
        <v>147</v>
      </c>
      <c r="AS1471" s="26">
        <v>4</v>
      </c>
      <c r="AT1471" s="26">
        <v>4</v>
      </c>
      <c r="AU1471" s="26" t="s">
        <v>379</v>
      </c>
      <c r="BG1471" s="26">
        <v>1.45</v>
      </c>
      <c r="BH1471" s="26">
        <v>1.5</v>
      </c>
      <c r="BJ1471" s="26">
        <v>3.3</v>
      </c>
      <c r="BK1471" s="26">
        <v>3.3</v>
      </c>
      <c r="BL1471" s="26" t="s">
        <v>1157</v>
      </c>
      <c r="BM1471" s="26">
        <v>4.0999999999999996</v>
      </c>
      <c r="BN1471" s="26">
        <v>11.2</v>
      </c>
      <c r="BO1471" s="26" t="s">
        <v>1160</v>
      </c>
      <c r="CN1471" s="26">
        <v>1.7390000000000001</v>
      </c>
      <c r="CO1471" s="26">
        <v>2.016</v>
      </c>
      <c r="CP1471" s="26" t="s">
        <v>1161</v>
      </c>
      <c r="FT1471" s="26">
        <v>67</v>
      </c>
    </row>
    <row r="1472" spans="1:176" s="26" customFormat="1" x14ac:dyDescent="0.25">
      <c r="A1472" s="26">
        <v>67</v>
      </c>
      <c r="B1472" s="26" t="s">
        <v>1152</v>
      </c>
      <c r="C1472" s="26" t="s">
        <v>1153</v>
      </c>
      <c r="D1472" s="26">
        <v>2006</v>
      </c>
      <c r="E1472" s="26">
        <v>2002</v>
      </c>
      <c r="F1472" s="26" t="s">
        <v>180</v>
      </c>
      <c r="G1472" s="26" t="s">
        <v>1154</v>
      </c>
      <c r="H1472" s="26">
        <v>40.1</v>
      </c>
      <c r="I1472" s="26">
        <v>-88.25</v>
      </c>
      <c r="J1472" s="26">
        <v>235.6</v>
      </c>
      <c r="P1472" s="52">
        <v>1</v>
      </c>
      <c r="Q1472" s="52" t="s">
        <v>994</v>
      </c>
      <c r="R1472" s="52" t="s">
        <v>1159</v>
      </c>
      <c r="S1472" s="52" t="s">
        <v>1566</v>
      </c>
      <c r="T1472" s="52" t="s">
        <v>1570</v>
      </c>
      <c r="U1472" s="52" t="s">
        <v>1565</v>
      </c>
      <c r="V1472" s="52" t="s">
        <v>1905</v>
      </c>
      <c r="Z1472" s="26" t="s">
        <v>167</v>
      </c>
      <c r="AD1472" s="26" t="s">
        <v>1481</v>
      </c>
      <c r="AE1472" s="26" t="s">
        <v>281</v>
      </c>
      <c r="AF1472" s="152" t="s">
        <v>666</v>
      </c>
      <c r="AG1472" s="26" t="s">
        <v>190</v>
      </c>
      <c r="AH1472" s="154" t="s">
        <v>1791</v>
      </c>
      <c r="AI1472" s="26" t="s">
        <v>1137</v>
      </c>
      <c r="AJ1472" s="26" t="s">
        <v>1137</v>
      </c>
      <c r="AK1472" s="26" t="s">
        <v>212</v>
      </c>
      <c r="AL1472" s="26" t="s">
        <v>188</v>
      </c>
      <c r="AM1472" s="26" t="s">
        <v>188</v>
      </c>
      <c r="AN1472" s="26" t="s">
        <v>212</v>
      </c>
      <c r="AO1472" s="26" t="s">
        <v>1155</v>
      </c>
      <c r="AP1472" s="26" t="s">
        <v>1155</v>
      </c>
      <c r="AQ1472" s="26" t="s">
        <v>212</v>
      </c>
      <c r="AR1472" s="26" t="s">
        <v>147</v>
      </c>
      <c r="AS1472" s="26">
        <v>4</v>
      </c>
      <c r="AT1472" s="26">
        <v>4</v>
      </c>
      <c r="AU1472" s="26" t="s">
        <v>379</v>
      </c>
      <c r="BG1472" s="26">
        <v>1.45</v>
      </c>
      <c r="BH1472" s="26">
        <v>1.42</v>
      </c>
      <c r="BJ1472" s="26">
        <v>3.7</v>
      </c>
      <c r="BK1472" s="26">
        <v>3.7</v>
      </c>
      <c r="BL1472" s="26" t="s">
        <v>1157</v>
      </c>
      <c r="BM1472" s="26">
        <v>12.2</v>
      </c>
      <c r="BN1472" s="26">
        <v>9.8000000000000007</v>
      </c>
      <c r="BO1472" s="26" t="s">
        <v>1160</v>
      </c>
      <c r="CN1472" s="26">
        <v>1.6240000000000001</v>
      </c>
      <c r="CO1472" s="26">
        <v>2.06</v>
      </c>
      <c r="CP1472" s="26" t="s">
        <v>1161</v>
      </c>
      <c r="FT1472" s="26">
        <v>67</v>
      </c>
    </row>
    <row r="1473" spans="1:176" s="47" customFormat="1" x14ac:dyDescent="0.25">
      <c r="A1473" s="47">
        <v>67</v>
      </c>
      <c r="B1473" s="47" t="s">
        <v>1152</v>
      </c>
      <c r="C1473" s="47" t="s">
        <v>1153</v>
      </c>
      <c r="D1473" s="47">
        <v>2006</v>
      </c>
      <c r="E1473" s="47">
        <v>2002</v>
      </c>
      <c r="F1473" s="47" t="s">
        <v>180</v>
      </c>
      <c r="G1473" s="47" t="s">
        <v>1154</v>
      </c>
      <c r="H1473" s="47">
        <v>40.1</v>
      </c>
      <c r="I1473" s="47">
        <v>-88.25</v>
      </c>
      <c r="J1473" s="47">
        <v>235.6</v>
      </c>
      <c r="P1473" s="82">
        <v>1</v>
      </c>
      <c r="Q1473" s="82" t="s">
        <v>994</v>
      </c>
      <c r="R1473" s="82" t="s">
        <v>1159</v>
      </c>
      <c r="S1473" s="82" t="s">
        <v>1570</v>
      </c>
      <c r="T1473" s="82" t="s">
        <v>1570</v>
      </c>
      <c r="U1473" s="82" t="s">
        <v>1565</v>
      </c>
      <c r="V1473" s="82" t="s">
        <v>1910</v>
      </c>
      <c r="Z1473" s="47" t="s">
        <v>167</v>
      </c>
      <c r="AD1473" s="47" t="s">
        <v>1481</v>
      </c>
      <c r="AE1473" s="47" t="s">
        <v>1698</v>
      </c>
      <c r="AF1473" s="152" t="s">
        <v>1762</v>
      </c>
      <c r="AG1473" s="47" t="s">
        <v>190</v>
      </c>
      <c r="AH1473" s="154" t="s">
        <v>1791</v>
      </c>
      <c r="AI1473" s="47" t="s">
        <v>1137</v>
      </c>
      <c r="AJ1473" s="47" t="s">
        <v>1137</v>
      </c>
      <c r="AK1473" s="47" t="s">
        <v>212</v>
      </c>
      <c r="AL1473" s="47" t="s">
        <v>188</v>
      </c>
      <c r="AM1473" s="47" t="s">
        <v>188</v>
      </c>
      <c r="AN1473" s="47" t="s">
        <v>212</v>
      </c>
      <c r="AO1473" s="47" t="s">
        <v>1155</v>
      </c>
      <c r="AP1473" s="47" t="s">
        <v>1155</v>
      </c>
      <c r="AQ1473" s="47" t="s">
        <v>212</v>
      </c>
      <c r="AR1473" s="47" t="s">
        <v>147</v>
      </c>
      <c r="AS1473" s="47">
        <v>4</v>
      </c>
      <c r="AT1473" s="47">
        <v>4</v>
      </c>
      <c r="AU1473" s="47" t="s">
        <v>379</v>
      </c>
      <c r="BG1473" s="47">
        <v>1.32</v>
      </c>
      <c r="BH1473" s="47">
        <v>1.23</v>
      </c>
      <c r="BJ1473" s="47">
        <v>4</v>
      </c>
      <c r="BK1473" s="47">
        <v>4.7</v>
      </c>
      <c r="BL1473" s="47" t="s">
        <v>1157</v>
      </c>
      <c r="BM1473" s="47">
        <v>13.3</v>
      </c>
      <c r="BN1473" s="47">
        <v>9.5</v>
      </c>
      <c r="BO1473" s="47" t="s">
        <v>1160</v>
      </c>
      <c r="CN1473" s="47">
        <v>1.337</v>
      </c>
      <c r="CO1473" s="47">
        <v>1.0940000000000001</v>
      </c>
      <c r="CP1473" s="47" t="s">
        <v>1161</v>
      </c>
      <c r="FT1473" s="47">
        <v>67</v>
      </c>
    </row>
    <row r="1474" spans="1:176" s="47" customFormat="1" x14ac:dyDescent="0.25">
      <c r="A1474" s="47">
        <v>67</v>
      </c>
      <c r="B1474" s="47" t="s">
        <v>1152</v>
      </c>
      <c r="C1474" s="47" t="s">
        <v>1153</v>
      </c>
      <c r="D1474" s="47">
        <v>2006</v>
      </c>
      <c r="E1474" s="47">
        <v>2002</v>
      </c>
      <c r="F1474" s="47" t="s">
        <v>180</v>
      </c>
      <c r="G1474" s="47" t="s">
        <v>1154</v>
      </c>
      <c r="H1474" s="47">
        <v>40.1</v>
      </c>
      <c r="I1474" s="47">
        <v>-88.25</v>
      </c>
      <c r="J1474" s="47">
        <v>235.6</v>
      </c>
      <c r="P1474" s="82">
        <v>1</v>
      </c>
      <c r="Q1474" s="82" t="s">
        <v>994</v>
      </c>
      <c r="R1474" s="82" t="s">
        <v>1159</v>
      </c>
      <c r="S1474" s="82" t="s">
        <v>1577</v>
      </c>
      <c r="T1474" s="82" t="s">
        <v>1570</v>
      </c>
      <c r="U1474" s="82" t="s">
        <v>1565</v>
      </c>
      <c r="V1474" s="82" t="s">
        <v>1910</v>
      </c>
      <c r="Z1474" s="47" t="s">
        <v>167</v>
      </c>
      <c r="AD1474" s="47" t="s">
        <v>1481</v>
      </c>
      <c r="AE1474" s="47" t="s">
        <v>1698</v>
      </c>
      <c r="AF1474" s="152" t="s">
        <v>1762</v>
      </c>
      <c r="AG1474" s="47" t="s">
        <v>190</v>
      </c>
      <c r="AH1474" s="154" t="s">
        <v>1791</v>
      </c>
      <c r="AI1474" s="47" t="s">
        <v>1137</v>
      </c>
      <c r="AJ1474" s="47" t="s">
        <v>1137</v>
      </c>
      <c r="AK1474" s="47" t="s">
        <v>212</v>
      </c>
      <c r="AL1474" s="47" t="s">
        <v>188</v>
      </c>
      <c r="AM1474" s="47" t="s">
        <v>188</v>
      </c>
      <c r="AN1474" s="47" t="s">
        <v>212</v>
      </c>
      <c r="AO1474" s="47" t="s">
        <v>1155</v>
      </c>
      <c r="AP1474" s="47" t="s">
        <v>1155</v>
      </c>
      <c r="AQ1474" s="47" t="s">
        <v>212</v>
      </c>
      <c r="AR1474" s="47" t="s">
        <v>147</v>
      </c>
      <c r="AS1474" s="47">
        <v>4</v>
      </c>
      <c r="AT1474" s="47">
        <v>4</v>
      </c>
      <c r="AU1474" s="47" t="s">
        <v>379</v>
      </c>
      <c r="BG1474" s="47">
        <v>1.4</v>
      </c>
      <c r="BH1474" s="47">
        <v>1.36</v>
      </c>
      <c r="BJ1474" s="47">
        <v>3.2</v>
      </c>
      <c r="BK1474" s="47">
        <v>3.5</v>
      </c>
      <c r="BL1474" s="47" t="s">
        <v>1157</v>
      </c>
      <c r="BM1474" s="47">
        <v>11.1</v>
      </c>
      <c r="BN1474" s="47">
        <v>8.5</v>
      </c>
      <c r="BO1474" s="47" t="s">
        <v>1160</v>
      </c>
      <c r="CN1474" s="47">
        <v>1.835</v>
      </c>
      <c r="CO1474" s="47">
        <v>1.9970000000000001</v>
      </c>
      <c r="CP1474" s="47" t="s">
        <v>1161</v>
      </c>
      <c r="FT1474" s="47">
        <v>67</v>
      </c>
    </row>
    <row r="1475" spans="1:176" s="47" customFormat="1" x14ac:dyDescent="0.25">
      <c r="A1475" s="47">
        <v>67</v>
      </c>
      <c r="B1475" s="47" t="s">
        <v>1152</v>
      </c>
      <c r="C1475" s="47" t="s">
        <v>1153</v>
      </c>
      <c r="D1475" s="47">
        <v>2006</v>
      </c>
      <c r="E1475" s="47">
        <v>2002</v>
      </c>
      <c r="F1475" s="47" t="s">
        <v>180</v>
      </c>
      <c r="G1475" s="47" t="s">
        <v>1154</v>
      </c>
      <c r="H1475" s="47">
        <v>40.1</v>
      </c>
      <c r="I1475" s="47">
        <v>-88.25</v>
      </c>
      <c r="J1475" s="47">
        <v>235.6</v>
      </c>
      <c r="P1475" s="82">
        <v>1</v>
      </c>
      <c r="Q1475" s="82" t="s">
        <v>994</v>
      </c>
      <c r="R1475" s="82" t="s">
        <v>1159</v>
      </c>
      <c r="S1475" s="82" t="s">
        <v>1585</v>
      </c>
      <c r="T1475" s="82" t="s">
        <v>1570</v>
      </c>
      <c r="U1475" s="82" t="s">
        <v>1565</v>
      </c>
      <c r="V1475" s="82" t="s">
        <v>1910</v>
      </c>
      <c r="Z1475" s="47" t="s">
        <v>167</v>
      </c>
      <c r="AD1475" s="47" t="s">
        <v>1481</v>
      </c>
      <c r="AE1475" s="47" t="s">
        <v>1698</v>
      </c>
      <c r="AF1475" s="152" t="s">
        <v>1762</v>
      </c>
      <c r="AG1475" s="47" t="s">
        <v>190</v>
      </c>
      <c r="AH1475" s="154" t="s">
        <v>1791</v>
      </c>
      <c r="AI1475" s="47" t="s">
        <v>1137</v>
      </c>
      <c r="AJ1475" s="47" t="s">
        <v>1137</v>
      </c>
      <c r="AK1475" s="47" t="s">
        <v>212</v>
      </c>
      <c r="AL1475" s="47" t="s">
        <v>188</v>
      </c>
      <c r="AM1475" s="47" t="s">
        <v>188</v>
      </c>
      <c r="AN1475" s="47" t="s">
        <v>212</v>
      </c>
      <c r="AO1475" s="47" t="s">
        <v>1155</v>
      </c>
      <c r="AP1475" s="47" t="s">
        <v>1155</v>
      </c>
      <c r="AQ1475" s="47" t="s">
        <v>212</v>
      </c>
      <c r="AR1475" s="47" t="s">
        <v>147</v>
      </c>
      <c r="AS1475" s="47">
        <v>4</v>
      </c>
      <c r="AT1475" s="47">
        <v>4</v>
      </c>
      <c r="AU1475" s="47" t="s">
        <v>379</v>
      </c>
      <c r="BG1475" s="47">
        <v>1.45</v>
      </c>
      <c r="BH1475" s="47">
        <v>1.43</v>
      </c>
      <c r="BJ1475" s="47">
        <v>3.3</v>
      </c>
      <c r="BK1475" s="47">
        <v>3.3</v>
      </c>
      <c r="BL1475" s="47" t="s">
        <v>1157</v>
      </c>
      <c r="BM1475" s="47">
        <v>4.0999999999999996</v>
      </c>
      <c r="BN1475" s="47">
        <v>15.6</v>
      </c>
      <c r="BO1475" s="47" t="s">
        <v>1160</v>
      </c>
      <c r="CN1475" s="47">
        <v>1.7390000000000001</v>
      </c>
      <c r="CO1475" s="47">
        <v>2.1440000000000001</v>
      </c>
      <c r="CP1475" s="47" t="s">
        <v>1161</v>
      </c>
      <c r="FT1475" s="47">
        <v>67</v>
      </c>
    </row>
    <row r="1476" spans="1:176" s="47" customFormat="1" x14ac:dyDescent="0.25">
      <c r="A1476" s="47">
        <v>67</v>
      </c>
      <c r="B1476" s="47" t="s">
        <v>1152</v>
      </c>
      <c r="C1476" s="47" t="s">
        <v>1153</v>
      </c>
      <c r="D1476" s="47">
        <v>2006</v>
      </c>
      <c r="E1476" s="47">
        <v>2002</v>
      </c>
      <c r="F1476" s="47" t="s">
        <v>180</v>
      </c>
      <c r="G1476" s="47" t="s">
        <v>1154</v>
      </c>
      <c r="H1476" s="47">
        <v>40.1</v>
      </c>
      <c r="I1476" s="47">
        <v>-88.25</v>
      </c>
      <c r="J1476" s="47">
        <v>235.6</v>
      </c>
      <c r="P1476" s="82">
        <v>1</v>
      </c>
      <c r="Q1476" s="82" t="s">
        <v>994</v>
      </c>
      <c r="R1476" s="82" t="s">
        <v>1159</v>
      </c>
      <c r="S1476" s="82" t="s">
        <v>1566</v>
      </c>
      <c r="T1476" s="82" t="s">
        <v>1570</v>
      </c>
      <c r="U1476" s="82" t="s">
        <v>1565</v>
      </c>
      <c r="V1476" s="82" t="s">
        <v>1905</v>
      </c>
      <c r="Z1476" s="47" t="s">
        <v>167</v>
      </c>
      <c r="AD1476" s="47" t="s">
        <v>1481</v>
      </c>
      <c r="AE1476" s="47" t="s">
        <v>1698</v>
      </c>
      <c r="AF1476" s="152" t="s">
        <v>1762</v>
      </c>
      <c r="AG1476" s="47" t="s">
        <v>190</v>
      </c>
      <c r="AH1476" s="154" t="s">
        <v>1791</v>
      </c>
      <c r="AI1476" s="47" t="s">
        <v>1137</v>
      </c>
      <c r="AJ1476" s="47" t="s">
        <v>1137</v>
      </c>
      <c r="AK1476" s="47" t="s">
        <v>212</v>
      </c>
      <c r="AL1476" s="47" t="s">
        <v>188</v>
      </c>
      <c r="AM1476" s="47" t="s">
        <v>188</v>
      </c>
      <c r="AN1476" s="47" t="s">
        <v>212</v>
      </c>
      <c r="AO1476" s="47" t="s">
        <v>1155</v>
      </c>
      <c r="AP1476" s="47" t="s">
        <v>1155</v>
      </c>
      <c r="AQ1476" s="47" t="s">
        <v>212</v>
      </c>
      <c r="AR1476" s="47" t="s">
        <v>147</v>
      </c>
      <c r="AS1476" s="47">
        <v>4</v>
      </c>
      <c r="AT1476" s="47">
        <v>4</v>
      </c>
      <c r="AU1476" s="47" t="s">
        <v>379</v>
      </c>
      <c r="BG1476" s="47">
        <v>1.45</v>
      </c>
      <c r="BH1476" s="47">
        <v>1.39</v>
      </c>
      <c r="BJ1476" s="47">
        <v>3.7</v>
      </c>
      <c r="BK1476" s="47">
        <v>4</v>
      </c>
      <c r="BL1476" s="47" t="s">
        <v>1157</v>
      </c>
      <c r="BM1476" s="47">
        <v>12.2</v>
      </c>
      <c r="BN1476" s="47">
        <v>10.4</v>
      </c>
      <c r="BO1476" s="47" t="s">
        <v>1160</v>
      </c>
      <c r="CN1476" s="47">
        <v>1.6240000000000001</v>
      </c>
      <c r="CO1476" s="47">
        <v>2.0339999999999998</v>
      </c>
      <c r="CP1476" s="47" t="s">
        <v>1161</v>
      </c>
      <c r="FT1476" s="47">
        <v>67</v>
      </c>
    </row>
    <row r="1477" spans="1:176" s="31" customFormat="1" x14ac:dyDescent="0.25">
      <c r="A1477" s="31">
        <v>68</v>
      </c>
      <c r="B1477" s="31" t="s">
        <v>1171</v>
      </c>
      <c r="C1477" s="31" t="s">
        <v>1172</v>
      </c>
      <c r="D1477" s="31">
        <v>2011</v>
      </c>
      <c r="E1477" s="31">
        <v>1995</v>
      </c>
      <c r="F1477" s="31" t="s">
        <v>342</v>
      </c>
      <c r="G1477" s="31" t="s">
        <v>1174</v>
      </c>
      <c r="H1477" s="31">
        <f t="shared" ref="H1477:H1500" si="246">43+18/60</f>
        <v>43.3</v>
      </c>
      <c r="I1477" s="31">
        <f t="shared" ref="I1477:I1500" si="247">-89-21/60</f>
        <v>-89.35</v>
      </c>
      <c r="J1477" s="31">
        <v>317.10000000000002</v>
      </c>
      <c r="P1477" s="56" t="s">
        <v>1910</v>
      </c>
      <c r="Q1477" s="56" t="s">
        <v>994</v>
      </c>
      <c r="R1477" s="56" t="s">
        <v>1173</v>
      </c>
      <c r="S1477" s="56" t="s">
        <v>1570</v>
      </c>
      <c r="T1477" s="56" t="s">
        <v>1570</v>
      </c>
      <c r="U1477" s="56" t="s">
        <v>1555</v>
      </c>
      <c r="V1477" s="56" t="s">
        <v>1910</v>
      </c>
      <c r="Z1477" s="31" t="s">
        <v>531</v>
      </c>
      <c r="AD1477" s="31" t="s">
        <v>1505</v>
      </c>
      <c r="AE1477" s="31" t="s">
        <v>1707</v>
      </c>
      <c r="AF1477" s="152" t="s">
        <v>1761</v>
      </c>
      <c r="AG1477" s="31" t="s">
        <v>160</v>
      </c>
      <c r="AH1477" s="155" t="s">
        <v>1791</v>
      </c>
      <c r="AI1477" s="31" t="s">
        <v>160</v>
      </c>
      <c r="AJ1477" s="31" t="s">
        <v>1081</v>
      </c>
      <c r="AK1477" s="31" t="s">
        <v>587</v>
      </c>
      <c r="AL1477" s="31" t="s">
        <v>562</v>
      </c>
      <c r="AM1477" s="31" t="s">
        <v>1181</v>
      </c>
      <c r="AN1477" s="31" t="s">
        <v>587</v>
      </c>
      <c r="AO1477" s="31" t="s">
        <v>1182</v>
      </c>
      <c r="AP1477" s="31" t="s">
        <v>1183</v>
      </c>
      <c r="AQ1477" s="31" t="s">
        <v>587</v>
      </c>
      <c r="AR1477" s="31" t="s">
        <v>192</v>
      </c>
      <c r="AS1477" s="31">
        <v>4</v>
      </c>
      <c r="AT1477" s="31">
        <v>4</v>
      </c>
      <c r="AU1477" s="31" t="s">
        <v>169</v>
      </c>
      <c r="AZ1477" s="31" t="s">
        <v>1175</v>
      </c>
      <c r="BG1477" s="31">
        <v>1.1000000000000001</v>
      </c>
      <c r="BH1477" s="31">
        <v>1.07</v>
      </c>
      <c r="BJ1477" s="31">
        <v>2.41</v>
      </c>
      <c r="BK1477" s="31">
        <v>2.19</v>
      </c>
      <c r="BL1477" s="31" t="s">
        <v>709</v>
      </c>
      <c r="BM1477" s="31">
        <v>2230</v>
      </c>
      <c r="BN1477" s="31">
        <v>2030</v>
      </c>
      <c r="BO1477" s="31" t="s">
        <v>272</v>
      </c>
      <c r="BP1477" s="31">
        <v>52.5</v>
      </c>
      <c r="BQ1477" s="31">
        <v>45.3</v>
      </c>
      <c r="BS1477" s="31">
        <v>237</v>
      </c>
      <c r="BT1477" s="31">
        <v>148</v>
      </c>
      <c r="BV1477" s="31">
        <v>6.3</v>
      </c>
      <c r="BW1477" s="31">
        <v>6.7</v>
      </c>
      <c r="CH1477" s="31">
        <v>778</v>
      </c>
      <c r="CI1477" s="31">
        <v>665</v>
      </c>
      <c r="CJ1477" s="31" t="s">
        <v>1200</v>
      </c>
      <c r="DI1477" s="31">
        <v>28</v>
      </c>
      <c r="DJ1477" s="31">
        <v>28</v>
      </c>
      <c r="DK1477" s="31" t="s">
        <v>196</v>
      </c>
      <c r="EM1477" s="31">
        <v>1740</v>
      </c>
      <c r="EN1477" s="31">
        <v>1840</v>
      </c>
      <c r="EO1477" s="31" t="s">
        <v>512</v>
      </c>
      <c r="EP1477" s="31">
        <v>29.9</v>
      </c>
      <c r="EQ1477" s="31">
        <v>31.5</v>
      </c>
      <c r="FH1477" s="31">
        <f>200*0.000012</f>
        <v>2.4000000000000002E-3</v>
      </c>
      <c r="FI1477" s="31">
        <f>161*0.000012</f>
        <v>1.9320000000000001E-3</v>
      </c>
      <c r="FJ1477" s="31" t="s">
        <v>1190</v>
      </c>
      <c r="FO1477" s="31">
        <v>99999</v>
      </c>
      <c r="FP1477" s="31">
        <v>99999</v>
      </c>
      <c r="FR1477" s="31" t="s">
        <v>515</v>
      </c>
      <c r="FT1477" s="31">
        <v>68</v>
      </c>
    </row>
    <row r="1478" spans="1:176" s="31" customFormat="1" x14ac:dyDescent="0.25">
      <c r="A1478" s="31">
        <v>68</v>
      </c>
      <c r="B1478" s="31" t="s">
        <v>1171</v>
      </c>
      <c r="C1478" s="31" t="s">
        <v>1172</v>
      </c>
      <c r="D1478" s="31">
        <v>2011</v>
      </c>
      <c r="E1478" s="31">
        <v>1995</v>
      </c>
      <c r="F1478" s="31" t="s">
        <v>342</v>
      </c>
      <c r="G1478" s="31" t="s">
        <v>1174</v>
      </c>
      <c r="H1478" s="31">
        <f t="shared" si="246"/>
        <v>43.3</v>
      </c>
      <c r="I1478" s="31">
        <f t="shared" si="247"/>
        <v>-89.35</v>
      </c>
      <c r="J1478" s="31">
        <v>317.10000000000002</v>
      </c>
      <c r="P1478" s="56" t="s">
        <v>1910</v>
      </c>
      <c r="Q1478" s="56" t="s">
        <v>994</v>
      </c>
      <c r="R1478" s="56" t="s">
        <v>1173</v>
      </c>
      <c r="S1478" s="56" t="s">
        <v>1570</v>
      </c>
      <c r="T1478" s="56" t="s">
        <v>1570</v>
      </c>
      <c r="U1478" s="56" t="s">
        <v>1555</v>
      </c>
      <c r="V1478" s="56" t="s">
        <v>1910</v>
      </c>
      <c r="Z1478" s="31" t="s">
        <v>531</v>
      </c>
      <c r="AD1478" s="31" t="s">
        <v>1505</v>
      </c>
      <c r="AE1478" s="31" t="s">
        <v>142</v>
      </c>
      <c r="AF1478" s="152" t="s">
        <v>666</v>
      </c>
      <c r="AG1478" s="31" t="s">
        <v>160</v>
      </c>
      <c r="AH1478" s="155" t="s">
        <v>1791</v>
      </c>
      <c r="AI1478" s="31" t="s">
        <v>160</v>
      </c>
      <c r="AJ1478" s="31" t="s">
        <v>160</v>
      </c>
      <c r="AK1478" s="31" t="s">
        <v>212</v>
      </c>
      <c r="AL1478" s="31" t="s">
        <v>562</v>
      </c>
      <c r="AM1478" s="31" t="s">
        <v>1181</v>
      </c>
      <c r="AN1478" s="31" t="s">
        <v>587</v>
      </c>
      <c r="AO1478" s="31" t="s">
        <v>1182</v>
      </c>
      <c r="AP1478" s="31" t="s">
        <v>1184</v>
      </c>
      <c r="AQ1478" s="31" t="s">
        <v>587</v>
      </c>
      <c r="AR1478" s="31" t="s">
        <v>192</v>
      </c>
      <c r="AS1478" s="31">
        <v>4</v>
      </c>
      <c r="AT1478" s="31">
        <v>4</v>
      </c>
      <c r="AU1478" s="31" t="s">
        <v>169</v>
      </c>
      <c r="AZ1478" s="31" t="s">
        <v>1176</v>
      </c>
      <c r="BG1478" s="31">
        <v>1.1000000000000001</v>
      </c>
      <c r="BH1478" s="31">
        <v>1.32</v>
      </c>
      <c r="BJ1478" s="31">
        <v>2.41</v>
      </c>
      <c r="BK1478" s="31">
        <v>2.5</v>
      </c>
      <c r="BL1478" s="31" t="s">
        <v>709</v>
      </c>
      <c r="BM1478" s="31">
        <v>2230</v>
      </c>
      <c r="BN1478" s="31">
        <v>2430</v>
      </c>
      <c r="BO1478" s="31" t="s">
        <v>272</v>
      </c>
      <c r="BP1478" s="31">
        <v>52.5</v>
      </c>
      <c r="BQ1478" s="31">
        <v>61.5</v>
      </c>
      <c r="BS1478" s="31">
        <v>237</v>
      </c>
      <c r="BT1478" s="31">
        <v>135</v>
      </c>
      <c r="BV1478" s="31">
        <v>6.3</v>
      </c>
      <c r="BW1478" s="31">
        <v>6.9</v>
      </c>
      <c r="CH1478" s="31">
        <v>778</v>
      </c>
      <c r="CI1478" s="31">
        <v>817</v>
      </c>
      <c r="CJ1478" s="31" t="s">
        <v>1200</v>
      </c>
      <c r="DI1478" s="31">
        <v>28</v>
      </c>
      <c r="DJ1478" s="31">
        <v>28</v>
      </c>
      <c r="DK1478" s="31" t="s">
        <v>196</v>
      </c>
      <c r="EM1478" s="31">
        <v>1740</v>
      </c>
      <c r="EN1478" s="31">
        <v>1880</v>
      </c>
      <c r="EO1478" s="31" t="s">
        <v>512</v>
      </c>
      <c r="EP1478" s="31">
        <v>29.9</v>
      </c>
      <c r="EQ1478" s="31">
        <v>37.4</v>
      </c>
      <c r="FH1478" s="31">
        <f t="shared" ref="FH1478:FH1482" si="248">200*0.000012</f>
        <v>2.4000000000000002E-3</v>
      </c>
      <c r="FI1478" s="31">
        <f>250*0.000012</f>
        <v>3.0000000000000001E-3</v>
      </c>
      <c r="FJ1478" s="31" t="s">
        <v>1190</v>
      </c>
      <c r="FO1478" s="31">
        <v>99999</v>
      </c>
      <c r="FP1478" s="31">
        <v>99999</v>
      </c>
      <c r="FR1478" s="31" t="s">
        <v>515</v>
      </c>
      <c r="FT1478" s="31">
        <v>68</v>
      </c>
    </row>
    <row r="1479" spans="1:176" s="31" customFormat="1" x14ac:dyDescent="0.25">
      <c r="A1479" s="31">
        <v>68</v>
      </c>
      <c r="B1479" s="31" t="s">
        <v>1171</v>
      </c>
      <c r="C1479" s="31" t="s">
        <v>1172</v>
      </c>
      <c r="D1479" s="31">
        <v>2011</v>
      </c>
      <c r="E1479" s="31">
        <v>1995</v>
      </c>
      <c r="F1479" s="31" t="s">
        <v>342</v>
      </c>
      <c r="G1479" s="31" t="s">
        <v>1174</v>
      </c>
      <c r="H1479" s="31">
        <f t="shared" si="246"/>
        <v>43.3</v>
      </c>
      <c r="I1479" s="31">
        <f t="shared" si="247"/>
        <v>-89.35</v>
      </c>
      <c r="J1479" s="31">
        <v>317.10000000000002</v>
      </c>
      <c r="P1479" s="56" t="s">
        <v>1910</v>
      </c>
      <c r="Q1479" s="56" t="s">
        <v>994</v>
      </c>
      <c r="R1479" s="56" t="s">
        <v>1173</v>
      </c>
      <c r="S1479" s="56" t="s">
        <v>1570</v>
      </c>
      <c r="T1479" s="56" t="s">
        <v>1570</v>
      </c>
      <c r="U1479" s="56" t="s">
        <v>1555</v>
      </c>
      <c r="V1479" s="56" t="s">
        <v>1910</v>
      </c>
      <c r="Z1479" s="31" t="s">
        <v>531</v>
      </c>
      <c r="AD1479" s="31" t="s">
        <v>1505</v>
      </c>
      <c r="AE1479" s="31" t="s">
        <v>142</v>
      </c>
      <c r="AF1479" s="152" t="s">
        <v>666</v>
      </c>
      <c r="AG1479" s="31" t="s">
        <v>160</v>
      </c>
      <c r="AH1479" s="155" t="s">
        <v>1791</v>
      </c>
      <c r="AI1479" s="31" t="s">
        <v>160</v>
      </c>
      <c r="AJ1479" s="31" t="s">
        <v>160</v>
      </c>
      <c r="AK1479" s="31" t="s">
        <v>212</v>
      </c>
      <c r="AL1479" s="31" t="s">
        <v>562</v>
      </c>
      <c r="AM1479" s="31" t="s">
        <v>1181</v>
      </c>
      <c r="AN1479" s="31" t="s">
        <v>587</v>
      </c>
      <c r="AO1479" s="31" t="s">
        <v>1182</v>
      </c>
      <c r="AP1479" s="31" t="s">
        <v>1185</v>
      </c>
      <c r="AQ1479" s="31" t="s">
        <v>587</v>
      </c>
      <c r="AR1479" s="31" t="s">
        <v>192</v>
      </c>
      <c r="AS1479" s="31">
        <v>4</v>
      </c>
      <c r="AT1479" s="31">
        <v>4</v>
      </c>
      <c r="AU1479" s="31" t="s">
        <v>169</v>
      </c>
      <c r="AZ1479" s="31" t="s">
        <v>1177</v>
      </c>
      <c r="BG1479" s="31">
        <v>1.1000000000000001</v>
      </c>
      <c r="BH1479" s="31">
        <v>1.37</v>
      </c>
      <c r="BJ1479" s="31">
        <v>2.41</v>
      </c>
      <c r="BK1479" s="31">
        <v>2.59</v>
      </c>
      <c r="BL1479" s="31" t="s">
        <v>709</v>
      </c>
      <c r="BM1479" s="31">
        <v>2230</v>
      </c>
      <c r="BN1479" s="31">
        <v>2680</v>
      </c>
      <c r="BO1479" s="31" t="s">
        <v>272</v>
      </c>
      <c r="BP1479" s="31">
        <v>52.5</v>
      </c>
      <c r="BQ1479" s="31">
        <v>72.8</v>
      </c>
      <c r="BS1479" s="31">
        <v>237</v>
      </c>
      <c r="BT1479" s="31">
        <v>231</v>
      </c>
      <c r="BV1479" s="31">
        <v>6.3</v>
      </c>
      <c r="BW1479" s="31">
        <v>6.6</v>
      </c>
      <c r="CH1479" s="31">
        <v>778</v>
      </c>
      <c r="CI1479" s="31">
        <v>801</v>
      </c>
      <c r="CJ1479" s="31" t="s">
        <v>1200</v>
      </c>
      <c r="DI1479" s="31">
        <v>28</v>
      </c>
      <c r="DJ1479" s="31">
        <v>23</v>
      </c>
      <c r="DK1479" s="31" t="s">
        <v>196</v>
      </c>
      <c r="EM1479" s="31">
        <v>1740</v>
      </c>
      <c r="EN1479" s="31">
        <v>1900</v>
      </c>
      <c r="EO1479" s="31" t="s">
        <v>512</v>
      </c>
      <c r="EP1479" s="31">
        <v>29.9</v>
      </c>
      <c r="EQ1479" s="31">
        <v>36.799999999999997</v>
      </c>
      <c r="FH1479" s="31">
        <f t="shared" si="248"/>
        <v>2.4000000000000002E-3</v>
      </c>
      <c r="FI1479" s="31">
        <f>181*0.000012</f>
        <v>2.1719999999999999E-3</v>
      </c>
      <c r="FJ1479" s="31" t="s">
        <v>1199</v>
      </c>
      <c r="FO1479" s="31">
        <v>99999</v>
      </c>
      <c r="FP1479" s="31">
        <v>99999</v>
      </c>
      <c r="FR1479" s="31" t="s">
        <v>515</v>
      </c>
      <c r="FT1479" s="31">
        <v>68</v>
      </c>
    </row>
    <row r="1480" spans="1:176" s="31" customFormat="1" x14ac:dyDescent="0.25">
      <c r="A1480" s="31">
        <v>68</v>
      </c>
      <c r="B1480" s="31" t="s">
        <v>1171</v>
      </c>
      <c r="C1480" s="31" t="s">
        <v>1172</v>
      </c>
      <c r="D1480" s="31">
        <v>2011</v>
      </c>
      <c r="E1480" s="31">
        <v>1995</v>
      </c>
      <c r="F1480" s="31" t="s">
        <v>342</v>
      </c>
      <c r="G1480" s="31" t="s">
        <v>1174</v>
      </c>
      <c r="H1480" s="31">
        <f t="shared" si="246"/>
        <v>43.3</v>
      </c>
      <c r="I1480" s="31">
        <f t="shared" si="247"/>
        <v>-89.35</v>
      </c>
      <c r="J1480" s="31">
        <v>317.10000000000002</v>
      </c>
      <c r="P1480" s="56" t="s">
        <v>1910</v>
      </c>
      <c r="Q1480" s="56" t="s">
        <v>994</v>
      </c>
      <c r="R1480" s="56" t="s">
        <v>1173</v>
      </c>
      <c r="S1480" s="56" t="s">
        <v>1570</v>
      </c>
      <c r="T1480" s="56" t="s">
        <v>1570</v>
      </c>
      <c r="U1480" s="56" t="s">
        <v>1555</v>
      </c>
      <c r="V1480" s="56" t="s">
        <v>1910</v>
      </c>
      <c r="Z1480" s="31" t="s">
        <v>531</v>
      </c>
      <c r="AD1480" s="31" t="s">
        <v>1505</v>
      </c>
      <c r="AE1480" s="31" t="s">
        <v>142</v>
      </c>
      <c r="AF1480" s="152" t="s">
        <v>666</v>
      </c>
      <c r="AG1480" s="31" t="s">
        <v>160</v>
      </c>
      <c r="AH1480" s="155" t="s">
        <v>1791</v>
      </c>
      <c r="AI1480" s="31" t="s">
        <v>160</v>
      </c>
      <c r="AJ1480" s="31" t="s">
        <v>160</v>
      </c>
      <c r="AK1480" s="31" t="s">
        <v>212</v>
      </c>
      <c r="AL1480" s="31" t="s">
        <v>562</v>
      </c>
      <c r="AM1480" s="31" t="s">
        <v>1181</v>
      </c>
      <c r="AN1480" s="31" t="s">
        <v>587</v>
      </c>
      <c r="AO1480" s="31" t="s">
        <v>1182</v>
      </c>
      <c r="AP1480" s="31" t="s">
        <v>1186</v>
      </c>
      <c r="AQ1480" s="31" t="s">
        <v>587</v>
      </c>
      <c r="AR1480" s="31" t="s">
        <v>192</v>
      </c>
      <c r="AS1480" s="31">
        <v>4</v>
      </c>
      <c r="AT1480" s="31">
        <v>4</v>
      </c>
      <c r="AU1480" s="31" t="s">
        <v>169</v>
      </c>
      <c r="AZ1480" s="31" t="s">
        <v>1178</v>
      </c>
      <c r="BG1480" s="31">
        <v>1.1000000000000001</v>
      </c>
      <c r="BH1480" s="31">
        <v>1.1299999999999999</v>
      </c>
      <c r="BJ1480" s="31">
        <v>2.41</v>
      </c>
      <c r="BK1480" s="31">
        <v>2.39</v>
      </c>
      <c r="BL1480" s="31" t="s">
        <v>709</v>
      </c>
      <c r="BM1480" s="31">
        <v>2230</v>
      </c>
      <c r="BN1480" s="31">
        <v>2300</v>
      </c>
      <c r="BO1480" s="31" t="s">
        <v>272</v>
      </c>
      <c r="BP1480" s="31">
        <v>52.5</v>
      </c>
      <c r="BQ1480" s="31">
        <v>58.3</v>
      </c>
      <c r="BS1480" s="31">
        <v>237</v>
      </c>
      <c r="BT1480" s="31">
        <v>145</v>
      </c>
      <c r="BV1480" s="31">
        <v>6.3</v>
      </c>
      <c r="BW1480" s="31">
        <v>6.8</v>
      </c>
      <c r="CH1480" s="31">
        <v>778</v>
      </c>
      <c r="CI1480" s="31">
        <v>766</v>
      </c>
      <c r="CJ1480" s="31" t="s">
        <v>1200</v>
      </c>
      <c r="DI1480" s="31">
        <v>28</v>
      </c>
      <c r="DJ1480" s="31">
        <v>28</v>
      </c>
      <c r="DK1480" s="31" t="s">
        <v>196</v>
      </c>
      <c r="EM1480" s="31">
        <v>1740</v>
      </c>
      <c r="EN1480" s="31">
        <v>1810</v>
      </c>
      <c r="EO1480" s="31" t="s">
        <v>512</v>
      </c>
      <c r="EP1480" s="31">
        <v>29.9</v>
      </c>
      <c r="EQ1480" s="31">
        <v>31.2</v>
      </c>
      <c r="FH1480" s="31">
        <f t="shared" si="248"/>
        <v>2.4000000000000002E-3</v>
      </c>
      <c r="FI1480" s="31">
        <f>170*0.000012</f>
        <v>2.0400000000000001E-3</v>
      </c>
      <c r="FJ1480" s="31" t="s">
        <v>1199</v>
      </c>
      <c r="FO1480" s="31">
        <v>99999</v>
      </c>
      <c r="FP1480" s="31">
        <v>99999</v>
      </c>
      <c r="FR1480" s="31" t="s">
        <v>515</v>
      </c>
      <c r="FT1480" s="31">
        <v>68</v>
      </c>
    </row>
    <row r="1481" spans="1:176" s="31" customFormat="1" x14ac:dyDescent="0.25">
      <c r="A1481" s="31">
        <v>68</v>
      </c>
      <c r="B1481" s="31" t="s">
        <v>1171</v>
      </c>
      <c r="C1481" s="31" t="s">
        <v>1172</v>
      </c>
      <c r="D1481" s="31">
        <v>2011</v>
      </c>
      <c r="E1481" s="31">
        <v>1995</v>
      </c>
      <c r="F1481" s="31" t="s">
        <v>342</v>
      </c>
      <c r="G1481" s="31" t="s">
        <v>1174</v>
      </c>
      <c r="H1481" s="31">
        <f t="shared" si="246"/>
        <v>43.3</v>
      </c>
      <c r="I1481" s="31">
        <f t="shared" si="247"/>
        <v>-89.35</v>
      </c>
      <c r="J1481" s="31">
        <v>317.10000000000002</v>
      </c>
      <c r="P1481" s="56" t="s">
        <v>1910</v>
      </c>
      <c r="Q1481" s="56" t="s">
        <v>994</v>
      </c>
      <c r="R1481" s="56" t="s">
        <v>1173</v>
      </c>
      <c r="S1481" s="56" t="s">
        <v>1570</v>
      </c>
      <c r="T1481" s="56" t="s">
        <v>1570</v>
      </c>
      <c r="U1481" s="56" t="s">
        <v>1555</v>
      </c>
      <c r="V1481" s="56" t="s">
        <v>1910</v>
      </c>
      <c r="Z1481" s="31" t="s">
        <v>531</v>
      </c>
      <c r="AD1481" s="31" t="s">
        <v>1505</v>
      </c>
      <c r="AE1481" s="31" t="s">
        <v>142</v>
      </c>
      <c r="AF1481" s="152" t="s">
        <v>666</v>
      </c>
      <c r="AG1481" s="31" t="s">
        <v>160</v>
      </c>
      <c r="AH1481" s="155" t="s">
        <v>1791</v>
      </c>
      <c r="AI1481" s="31" t="s">
        <v>160</v>
      </c>
      <c r="AJ1481" s="31" t="s">
        <v>160</v>
      </c>
      <c r="AK1481" s="31" t="s">
        <v>212</v>
      </c>
      <c r="AL1481" s="31" t="s">
        <v>562</v>
      </c>
      <c r="AM1481" s="31" t="s">
        <v>1181</v>
      </c>
      <c r="AN1481" s="31" t="s">
        <v>587</v>
      </c>
      <c r="AO1481" s="31" t="s">
        <v>1182</v>
      </c>
      <c r="AP1481" s="31" t="s">
        <v>1187</v>
      </c>
      <c r="AQ1481" s="31" t="s">
        <v>587</v>
      </c>
      <c r="AR1481" s="31" t="s">
        <v>192</v>
      </c>
      <c r="AS1481" s="31">
        <v>4</v>
      </c>
      <c r="AT1481" s="31">
        <v>4</v>
      </c>
      <c r="AU1481" s="31" t="s">
        <v>169</v>
      </c>
      <c r="AZ1481" s="31" t="s">
        <v>1179</v>
      </c>
      <c r="BG1481" s="31">
        <v>1.1000000000000001</v>
      </c>
      <c r="BH1481" s="31">
        <v>1.32</v>
      </c>
      <c r="BJ1481" s="31">
        <v>2.41</v>
      </c>
      <c r="BK1481" s="31">
        <v>2.39</v>
      </c>
      <c r="BL1481" s="31" t="s">
        <v>709</v>
      </c>
      <c r="BM1481" s="31">
        <v>2230</v>
      </c>
      <c r="BN1481" s="31">
        <v>2400</v>
      </c>
      <c r="BO1481" s="31" t="s">
        <v>272</v>
      </c>
      <c r="BP1481" s="31">
        <v>52.5</v>
      </c>
      <c r="BQ1481" s="31">
        <v>56.3</v>
      </c>
      <c r="BS1481" s="31">
        <v>237</v>
      </c>
      <c r="BT1481" s="31">
        <v>173</v>
      </c>
      <c r="BV1481" s="31">
        <v>6.3</v>
      </c>
      <c r="BW1481" s="31">
        <v>6.7</v>
      </c>
      <c r="CH1481" s="31">
        <v>778</v>
      </c>
      <c r="CI1481" s="31">
        <v>829</v>
      </c>
      <c r="CJ1481" s="31" t="s">
        <v>1200</v>
      </c>
      <c r="DI1481" s="31">
        <v>28</v>
      </c>
      <c r="DJ1481" s="31">
        <v>26</v>
      </c>
      <c r="DK1481" s="31" t="s">
        <v>196</v>
      </c>
      <c r="EM1481" s="31">
        <v>1740</v>
      </c>
      <c r="EN1481" s="31">
        <v>1890</v>
      </c>
      <c r="EO1481" s="31" t="s">
        <v>512</v>
      </c>
      <c r="EP1481" s="31">
        <v>29.9</v>
      </c>
      <c r="EQ1481" s="31">
        <v>37.9</v>
      </c>
      <c r="FH1481" s="31">
        <f t="shared" si="248"/>
        <v>2.4000000000000002E-3</v>
      </c>
      <c r="FI1481" s="31">
        <f>204*0.000012</f>
        <v>2.4480000000000001E-3</v>
      </c>
      <c r="FJ1481" s="31" t="s">
        <v>1199</v>
      </c>
      <c r="FO1481" s="31">
        <v>99999</v>
      </c>
      <c r="FP1481" s="31">
        <v>99999</v>
      </c>
      <c r="FR1481" s="31" t="s">
        <v>515</v>
      </c>
      <c r="FT1481" s="31">
        <v>68</v>
      </c>
    </row>
    <row r="1482" spans="1:176" s="31" customFormat="1" x14ac:dyDescent="0.25">
      <c r="A1482" s="31">
        <v>68</v>
      </c>
      <c r="B1482" s="31" t="s">
        <v>1171</v>
      </c>
      <c r="C1482" s="31" t="s">
        <v>1172</v>
      </c>
      <c r="D1482" s="31">
        <v>2011</v>
      </c>
      <c r="E1482" s="31">
        <v>1995</v>
      </c>
      <c r="F1482" s="31" t="s">
        <v>342</v>
      </c>
      <c r="G1482" s="31" t="s">
        <v>1174</v>
      </c>
      <c r="H1482" s="31">
        <f t="shared" si="246"/>
        <v>43.3</v>
      </c>
      <c r="I1482" s="31">
        <f t="shared" si="247"/>
        <v>-89.35</v>
      </c>
      <c r="J1482" s="31">
        <v>317.10000000000002</v>
      </c>
      <c r="P1482" s="56" t="s">
        <v>1910</v>
      </c>
      <c r="Q1482" s="56" t="s">
        <v>994</v>
      </c>
      <c r="R1482" s="56" t="s">
        <v>1173</v>
      </c>
      <c r="S1482" s="56" t="s">
        <v>1570</v>
      </c>
      <c r="T1482" s="56" t="s">
        <v>1570</v>
      </c>
      <c r="U1482" s="56" t="s">
        <v>1555</v>
      </c>
      <c r="V1482" s="56" t="s">
        <v>1910</v>
      </c>
      <c r="Z1482" s="31" t="s">
        <v>531</v>
      </c>
      <c r="AD1482" s="31" t="s">
        <v>1505</v>
      </c>
      <c r="AE1482" s="31" t="s">
        <v>727</v>
      </c>
      <c r="AF1482" s="152" t="s">
        <v>727</v>
      </c>
      <c r="AG1482" s="31" t="s">
        <v>160</v>
      </c>
      <c r="AH1482" s="155" t="s">
        <v>1791</v>
      </c>
      <c r="AI1482" s="31" t="s">
        <v>160</v>
      </c>
      <c r="AJ1482" s="31" t="s">
        <v>1787</v>
      </c>
      <c r="AK1482" s="31" t="s">
        <v>587</v>
      </c>
      <c r="AL1482" s="31" t="s">
        <v>562</v>
      </c>
      <c r="AM1482" s="31" t="s">
        <v>1181</v>
      </c>
      <c r="AN1482" s="31" t="s">
        <v>587</v>
      </c>
      <c r="AO1482" s="31" t="s">
        <v>1182</v>
      </c>
      <c r="AP1482" s="31" t="s">
        <v>1188</v>
      </c>
      <c r="AQ1482" s="31" t="s">
        <v>587</v>
      </c>
      <c r="AR1482" s="31" t="s">
        <v>192</v>
      </c>
      <c r="AS1482" s="31">
        <v>4</v>
      </c>
      <c r="AT1482" s="31">
        <v>4</v>
      </c>
      <c r="AU1482" s="31" t="s">
        <v>169</v>
      </c>
      <c r="AZ1482" s="31" t="s">
        <v>1180</v>
      </c>
      <c r="BG1482" s="31">
        <v>1.1000000000000001</v>
      </c>
      <c r="BH1482" s="31">
        <v>1.24</v>
      </c>
      <c r="BJ1482" s="31">
        <v>2.41</v>
      </c>
      <c r="BK1482" s="31">
        <v>3.36</v>
      </c>
      <c r="BL1482" s="31" t="s">
        <v>709</v>
      </c>
      <c r="BM1482" s="31">
        <v>2230</v>
      </c>
      <c r="BN1482" s="31">
        <v>3360</v>
      </c>
      <c r="BO1482" s="31" t="s">
        <v>272</v>
      </c>
      <c r="BP1482" s="31">
        <v>52.5</v>
      </c>
      <c r="BQ1482" s="31">
        <v>49.8</v>
      </c>
      <c r="BS1482" s="31">
        <v>237</v>
      </c>
      <c r="BT1482" s="31">
        <v>163</v>
      </c>
      <c r="BV1482" s="31">
        <v>6.3</v>
      </c>
      <c r="BW1482" s="31">
        <v>6.2</v>
      </c>
      <c r="CH1482" s="31">
        <v>778</v>
      </c>
      <c r="CI1482" s="31">
        <v>889</v>
      </c>
      <c r="CJ1482" s="31" t="s">
        <v>1200</v>
      </c>
      <c r="DI1482" s="31">
        <v>28</v>
      </c>
      <c r="DJ1482" s="31">
        <v>29</v>
      </c>
      <c r="DK1482" s="31" t="s">
        <v>196</v>
      </c>
      <c r="EM1482" s="31">
        <v>1740</v>
      </c>
      <c r="EN1482" s="31">
        <v>2350</v>
      </c>
      <c r="EO1482" s="31" t="s">
        <v>512</v>
      </c>
      <c r="EP1482" s="31">
        <v>29.9</v>
      </c>
      <c r="EQ1482" s="31">
        <v>61.2</v>
      </c>
      <c r="FH1482" s="31">
        <f t="shared" si="248"/>
        <v>2.4000000000000002E-3</v>
      </c>
      <c r="FI1482" s="31">
        <f>523*0.000012</f>
        <v>6.2760000000000003E-3</v>
      </c>
      <c r="FJ1482" s="31" t="s">
        <v>1199</v>
      </c>
      <c r="FO1482" s="31">
        <v>99999</v>
      </c>
      <c r="FP1482" s="31">
        <v>99999</v>
      </c>
      <c r="FR1482" s="31" t="s">
        <v>515</v>
      </c>
      <c r="FT1482" s="31">
        <v>68</v>
      </c>
    </row>
    <row r="1483" spans="1:176" s="38" customFormat="1" x14ac:dyDescent="0.25">
      <c r="A1483" s="38">
        <v>68</v>
      </c>
      <c r="B1483" s="38" t="s">
        <v>1171</v>
      </c>
      <c r="C1483" s="38" t="s">
        <v>1172</v>
      </c>
      <c r="D1483" s="38">
        <v>2011</v>
      </c>
      <c r="E1483" s="38">
        <v>1995</v>
      </c>
      <c r="F1483" s="38" t="s">
        <v>342</v>
      </c>
      <c r="G1483" s="38" t="s">
        <v>1174</v>
      </c>
      <c r="H1483" s="38">
        <f t="shared" si="246"/>
        <v>43.3</v>
      </c>
      <c r="I1483" s="38">
        <f t="shared" si="247"/>
        <v>-89.35</v>
      </c>
      <c r="J1483" s="38">
        <v>317.10000000000002</v>
      </c>
      <c r="P1483" s="57" t="s">
        <v>1910</v>
      </c>
      <c r="Q1483" s="57" t="s">
        <v>994</v>
      </c>
      <c r="R1483" s="57" t="s">
        <v>1173</v>
      </c>
      <c r="S1483" s="57" t="s">
        <v>1570</v>
      </c>
      <c r="T1483" s="57" t="s">
        <v>1570</v>
      </c>
      <c r="U1483" s="57" t="s">
        <v>1555</v>
      </c>
      <c r="V1483" s="57" t="s">
        <v>1910</v>
      </c>
      <c r="Z1483" s="38" t="s">
        <v>531</v>
      </c>
      <c r="AD1483" s="38" t="s">
        <v>1505</v>
      </c>
      <c r="AE1483" s="38" t="s">
        <v>1707</v>
      </c>
      <c r="AF1483" s="152" t="s">
        <v>1761</v>
      </c>
      <c r="AG1483" s="38" t="s">
        <v>1769</v>
      </c>
      <c r="AH1483" s="155" t="s">
        <v>1791</v>
      </c>
      <c r="AI1483" s="38" t="s">
        <v>779</v>
      </c>
      <c r="AJ1483" s="38" t="s">
        <v>1081</v>
      </c>
      <c r="AK1483" s="38" t="s">
        <v>212</v>
      </c>
      <c r="AL1483" s="38" t="s">
        <v>1198</v>
      </c>
      <c r="AM1483" s="38" t="s">
        <v>1181</v>
      </c>
      <c r="AN1483" s="38" t="s">
        <v>587</v>
      </c>
      <c r="AO1483" s="38" t="s">
        <v>1197</v>
      </c>
      <c r="AP1483" s="38" t="s">
        <v>1183</v>
      </c>
      <c r="AQ1483" s="38" t="s">
        <v>587</v>
      </c>
      <c r="AR1483" s="38" t="s">
        <v>192</v>
      </c>
      <c r="AS1483" s="38">
        <v>4</v>
      </c>
      <c r="AT1483" s="38">
        <v>4</v>
      </c>
      <c r="AU1483" s="38" t="s">
        <v>169</v>
      </c>
      <c r="AZ1483" s="38" t="s">
        <v>1191</v>
      </c>
      <c r="BG1483" s="38">
        <v>1.18</v>
      </c>
      <c r="BH1483" s="38">
        <v>1.07</v>
      </c>
      <c r="BJ1483" s="38">
        <v>2.65</v>
      </c>
      <c r="BK1483" s="38">
        <v>2.19</v>
      </c>
      <c r="BL1483" s="38" t="s">
        <v>709</v>
      </c>
      <c r="BM1483" s="38">
        <v>2470</v>
      </c>
      <c r="BN1483" s="38">
        <v>2030</v>
      </c>
      <c r="BO1483" s="38" t="s">
        <v>272</v>
      </c>
      <c r="BP1483" s="38">
        <v>37</v>
      </c>
      <c r="BQ1483" s="38">
        <v>45.3</v>
      </c>
      <c r="BS1483" s="38">
        <v>144</v>
      </c>
      <c r="BT1483" s="38">
        <v>148</v>
      </c>
      <c r="BV1483" s="38">
        <v>6.6</v>
      </c>
      <c r="BW1483" s="38">
        <v>6.7</v>
      </c>
      <c r="CH1483" s="38">
        <v>742</v>
      </c>
      <c r="CI1483" s="38">
        <v>665</v>
      </c>
      <c r="CJ1483" s="38" t="s">
        <v>1200</v>
      </c>
      <c r="DI1483" s="38">
        <v>29</v>
      </c>
      <c r="DJ1483" s="38">
        <v>28</v>
      </c>
      <c r="DK1483" s="38" t="s">
        <v>196</v>
      </c>
      <c r="EM1483" s="38">
        <v>1900</v>
      </c>
      <c r="EN1483" s="38">
        <v>1840</v>
      </c>
      <c r="EO1483" s="38" t="s">
        <v>512</v>
      </c>
      <c r="EP1483" s="38">
        <v>36.700000000000003</v>
      </c>
      <c r="EQ1483" s="38">
        <v>31.5</v>
      </c>
      <c r="FH1483" s="38">
        <f>198*0.000012</f>
        <v>2.3760000000000001E-3</v>
      </c>
      <c r="FI1483" s="38">
        <f>161*0.000012</f>
        <v>1.9320000000000001E-3</v>
      </c>
      <c r="FJ1483" s="38" t="s">
        <v>1190</v>
      </c>
      <c r="FO1483" s="31">
        <v>99999</v>
      </c>
      <c r="FP1483" s="31">
        <v>99999</v>
      </c>
      <c r="FQ1483" s="31"/>
      <c r="FR1483" s="38" t="s">
        <v>515</v>
      </c>
      <c r="FT1483" s="38">
        <v>68</v>
      </c>
    </row>
    <row r="1484" spans="1:176" s="38" customFormat="1" x14ac:dyDescent="0.25">
      <c r="A1484" s="38">
        <v>68</v>
      </c>
      <c r="B1484" s="38" t="s">
        <v>1171</v>
      </c>
      <c r="C1484" s="38" t="s">
        <v>1172</v>
      </c>
      <c r="D1484" s="38">
        <v>2011</v>
      </c>
      <c r="E1484" s="38">
        <v>1995</v>
      </c>
      <c r="F1484" s="38" t="s">
        <v>342</v>
      </c>
      <c r="G1484" s="38" t="s">
        <v>1174</v>
      </c>
      <c r="H1484" s="38">
        <f t="shared" si="246"/>
        <v>43.3</v>
      </c>
      <c r="I1484" s="38">
        <f t="shared" si="247"/>
        <v>-89.35</v>
      </c>
      <c r="J1484" s="38">
        <v>317.10000000000002</v>
      </c>
      <c r="P1484" s="57" t="s">
        <v>1910</v>
      </c>
      <c r="Q1484" s="57" t="s">
        <v>994</v>
      </c>
      <c r="R1484" s="57" t="s">
        <v>1173</v>
      </c>
      <c r="S1484" s="57" t="s">
        <v>1570</v>
      </c>
      <c r="T1484" s="57" t="s">
        <v>1570</v>
      </c>
      <c r="U1484" s="57" t="s">
        <v>1555</v>
      </c>
      <c r="V1484" s="57" t="s">
        <v>1910</v>
      </c>
      <c r="Z1484" s="38" t="s">
        <v>531</v>
      </c>
      <c r="AD1484" s="38" t="s">
        <v>1505</v>
      </c>
      <c r="AE1484" s="38" t="s">
        <v>142</v>
      </c>
      <c r="AF1484" s="152" t="s">
        <v>666</v>
      </c>
      <c r="AG1484" s="38" t="s">
        <v>1769</v>
      </c>
      <c r="AH1484" s="155" t="s">
        <v>1791</v>
      </c>
      <c r="AI1484" s="38" t="s">
        <v>779</v>
      </c>
      <c r="AJ1484" s="38" t="s">
        <v>160</v>
      </c>
      <c r="AK1484" s="38" t="s">
        <v>587</v>
      </c>
      <c r="AL1484" s="38" t="s">
        <v>1198</v>
      </c>
      <c r="AM1484" s="38" t="s">
        <v>1181</v>
      </c>
      <c r="AN1484" s="38" t="s">
        <v>587</v>
      </c>
      <c r="AO1484" s="38" t="s">
        <v>1197</v>
      </c>
      <c r="AP1484" s="38" t="s">
        <v>1184</v>
      </c>
      <c r="AQ1484" s="38" t="s">
        <v>587</v>
      </c>
      <c r="AR1484" s="38" t="s">
        <v>192</v>
      </c>
      <c r="AS1484" s="38">
        <v>4</v>
      </c>
      <c r="AT1484" s="38">
        <v>4</v>
      </c>
      <c r="AU1484" s="38" t="s">
        <v>169</v>
      </c>
      <c r="AZ1484" s="38" t="s">
        <v>1192</v>
      </c>
      <c r="BG1484" s="38">
        <v>1.18</v>
      </c>
      <c r="BH1484" s="38">
        <v>1.32</v>
      </c>
      <c r="BJ1484" s="38">
        <v>2.65</v>
      </c>
      <c r="BK1484" s="38">
        <v>2.5</v>
      </c>
      <c r="BL1484" s="38" t="s">
        <v>709</v>
      </c>
      <c r="BM1484" s="38">
        <v>2470</v>
      </c>
      <c r="BN1484" s="38">
        <v>2430</v>
      </c>
      <c r="BO1484" s="38" t="s">
        <v>272</v>
      </c>
      <c r="BP1484" s="38">
        <v>37</v>
      </c>
      <c r="BQ1484" s="38">
        <v>61.5</v>
      </c>
      <c r="BS1484" s="38">
        <v>144</v>
      </c>
      <c r="BT1484" s="38">
        <v>135</v>
      </c>
      <c r="BV1484" s="38">
        <v>6.6</v>
      </c>
      <c r="BW1484" s="38">
        <v>6.9</v>
      </c>
      <c r="CH1484" s="38">
        <v>742</v>
      </c>
      <c r="CI1484" s="38">
        <v>817</v>
      </c>
      <c r="CJ1484" s="38" t="s">
        <v>1200</v>
      </c>
      <c r="DI1484" s="38">
        <v>29</v>
      </c>
      <c r="DJ1484" s="38">
        <v>28</v>
      </c>
      <c r="DK1484" s="38" t="s">
        <v>196</v>
      </c>
      <c r="EM1484" s="38">
        <v>1900</v>
      </c>
      <c r="EN1484" s="38">
        <v>1880</v>
      </c>
      <c r="EO1484" s="38" t="s">
        <v>512</v>
      </c>
      <c r="EP1484" s="38">
        <v>36.700000000000003</v>
      </c>
      <c r="EQ1484" s="38">
        <v>37.4</v>
      </c>
      <c r="FH1484" s="38">
        <f t="shared" ref="FH1484:FH1488" si="249">198*0.000012</f>
        <v>2.3760000000000001E-3</v>
      </c>
      <c r="FI1484" s="38">
        <f>250*0.000012</f>
        <v>3.0000000000000001E-3</v>
      </c>
      <c r="FJ1484" s="38" t="s">
        <v>1190</v>
      </c>
      <c r="FO1484" s="31">
        <v>99999</v>
      </c>
      <c r="FP1484" s="31">
        <v>99999</v>
      </c>
      <c r="FQ1484" s="31"/>
      <c r="FR1484" s="38" t="s">
        <v>515</v>
      </c>
      <c r="FT1484" s="38">
        <v>68</v>
      </c>
    </row>
    <row r="1485" spans="1:176" s="38" customFormat="1" x14ac:dyDescent="0.25">
      <c r="A1485" s="38">
        <v>68</v>
      </c>
      <c r="B1485" s="38" t="s">
        <v>1171</v>
      </c>
      <c r="C1485" s="38" t="s">
        <v>1172</v>
      </c>
      <c r="D1485" s="38">
        <v>2011</v>
      </c>
      <c r="E1485" s="38">
        <v>1995</v>
      </c>
      <c r="F1485" s="38" t="s">
        <v>342</v>
      </c>
      <c r="G1485" s="38" t="s">
        <v>1174</v>
      </c>
      <c r="H1485" s="38">
        <f t="shared" si="246"/>
        <v>43.3</v>
      </c>
      <c r="I1485" s="38">
        <f t="shared" si="247"/>
        <v>-89.35</v>
      </c>
      <c r="J1485" s="38">
        <v>317.10000000000002</v>
      </c>
      <c r="P1485" s="57" t="s">
        <v>1910</v>
      </c>
      <c r="Q1485" s="57" t="s">
        <v>994</v>
      </c>
      <c r="R1485" s="57" t="s">
        <v>1173</v>
      </c>
      <c r="S1485" s="57" t="s">
        <v>1570</v>
      </c>
      <c r="T1485" s="57" t="s">
        <v>1570</v>
      </c>
      <c r="U1485" s="57" t="s">
        <v>1555</v>
      </c>
      <c r="V1485" s="57" t="s">
        <v>1910</v>
      </c>
      <c r="Z1485" s="38" t="s">
        <v>531</v>
      </c>
      <c r="AD1485" s="38" t="s">
        <v>1505</v>
      </c>
      <c r="AE1485" s="38" t="s">
        <v>142</v>
      </c>
      <c r="AF1485" s="152" t="s">
        <v>666</v>
      </c>
      <c r="AG1485" s="38" t="s">
        <v>1769</v>
      </c>
      <c r="AH1485" s="155" t="s">
        <v>1791</v>
      </c>
      <c r="AI1485" s="38" t="s">
        <v>779</v>
      </c>
      <c r="AJ1485" s="38" t="s">
        <v>160</v>
      </c>
      <c r="AK1485" s="38" t="s">
        <v>587</v>
      </c>
      <c r="AL1485" s="38" t="s">
        <v>1198</v>
      </c>
      <c r="AM1485" s="38" t="s">
        <v>1181</v>
      </c>
      <c r="AN1485" s="38" t="s">
        <v>587</v>
      </c>
      <c r="AO1485" s="38" t="s">
        <v>1197</v>
      </c>
      <c r="AP1485" s="38" t="s">
        <v>1185</v>
      </c>
      <c r="AQ1485" s="38" t="s">
        <v>587</v>
      </c>
      <c r="AR1485" s="38" t="s">
        <v>192</v>
      </c>
      <c r="AS1485" s="38">
        <v>4</v>
      </c>
      <c r="AT1485" s="38">
        <v>4</v>
      </c>
      <c r="AU1485" s="38" t="s">
        <v>169</v>
      </c>
      <c r="AZ1485" s="38" t="s">
        <v>1193</v>
      </c>
      <c r="BG1485" s="38">
        <v>1.18</v>
      </c>
      <c r="BH1485" s="38">
        <v>1.37</v>
      </c>
      <c r="BJ1485" s="38">
        <v>2.65</v>
      </c>
      <c r="BK1485" s="38">
        <v>2.59</v>
      </c>
      <c r="BL1485" s="38" t="s">
        <v>709</v>
      </c>
      <c r="BM1485" s="38">
        <v>2470</v>
      </c>
      <c r="BN1485" s="38">
        <v>2680</v>
      </c>
      <c r="BO1485" s="38" t="s">
        <v>272</v>
      </c>
      <c r="BP1485" s="38">
        <v>37</v>
      </c>
      <c r="BQ1485" s="38">
        <v>72.8</v>
      </c>
      <c r="BS1485" s="38">
        <v>144</v>
      </c>
      <c r="BT1485" s="38">
        <v>231</v>
      </c>
      <c r="BV1485" s="38">
        <v>6.6</v>
      </c>
      <c r="BW1485" s="38">
        <v>6.6</v>
      </c>
      <c r="CH1485" s="38">
        <v>742</v>
      </c>
      <c r="CI1485" s="38">
        <v>801</v>
      </c>
      <c r="CJ1485" s="38" t="s">
        <v>1200</v>
      </c>
      <c r="DI1485" s="38">
        <v>29</v>
      </c>
      <c r="DJ1485" s="38">
        <v>23</v>
      </c>
      <c r="DK1485" s="38" t="s">
        <v>196</v>
      </c>
      <c r="EM1485" s="38">
        <v>1900</v>
      </c>
      <c r="EN1485" s="38">
        <v>1900</v>
      </c>
      <c r="EO1485" s="38" t="s">
        <v>512</v>
      </c>
      <c r="EP1485" s="38">
        <v>36.700000000000003</v>
      </c>
      <c r="EQ1485" s="38">
        <v>36.799999999999997</v>
      </c>
      <c r="FH1485" s="38">
        <f t="shared" si="249"/>
        <v>2.3760000000000001E-3</v>
      </c>
      <c r="FI1485" s="38">
        <f>181*0.000012</f>
        <v>2.1719999999999999E-3</v>
      </c>
      <c r="FJ1485" s="38" t="s">
        <v>1199</v>
      </c>
      <c r="FO1485" s="31">
        <v>99999</v>
      </c>
      <c r="FP1485" s="31">
        <v>99999</v>
      </c>
      <c r="FQ1485" s="31"/>
      <c r="FR1485" s="38" t="s">
        <v>515</v>
      </c>
      <c r="FT1485" s="38">
        <v>68</v>
      </c>
    </row>
    <row r="1486" spans="1:176" s="38" customFormat="1" x14ac:dyDescent="0.25">
      <c r="A1486" s="38">
        <v>68</v>
      </c>
      <c r="B1486" s="38" t="s">
        <v>1171</v>
      </c>
      <c r="C1486" s="38" t="s">
        <v>1172</v>
      </c>
      <c r="D1486" s="38">
        <v>2011</v>
      </c>
      <c r="E1486" s="38">
        <v>1995</v>
      </c>
      <c r="F1486" s="38" t="s">
        <v>342</v>
      </c>
      <c r="G1486" s="38" t="s">
        <v>1174</v>
      </c>
      <c r="H1486" s="38">
        <f t="shared" si="246"/>
        <v>43.3</v>
      </c>
      <c r="I1486" s="38">
        <f t="shared" si="247"/>
        <v>-89.35</v>
      </c>
      <c r="J1486" s="38">
        <v>317.10000000000002</v>
      </c>
      <c r="P1486" s="57" t="s">
        <v>1910</v>
      </c>
      <c r="Q1486" s="57" t="s">
        <v>994</v>
      </c>
      <c r="R1486" s="57" t="s">
        <v>1173</v>
      </c>
      <c r="S1486" s="57" t="s">
        <v>1570</v>
      </c>
      <c r="T1486" s="57" t="s">
        <v>1570</v>
      </c>
      <c r="U1486" s="57" t="s">
        <v>1555</v>
      </c>
      <c r="V1486" s="57" t="s">
        <v>1910</v>
      </c>
      <c r="Z1486" s="38" t="s">
        <v>531</v>
      </c>
      <c r="AD1486" s="38" t="s">
        <v>1505</v>
      </c>
      <c r="AE1486" s="38" t="s">
        <v>142</v>
      </c>
      <c r="AF1486" s="152" t="s">
        <v>666</v>
      </c>
      <c r="AG1486" s="38" t="s">
        <v>1769</v>
      </c>
      <c r="AH1486" s="155" t="s">
        <v>1791</v>
      </c>
      <c r="AI1486" s="38" t="s">
        <v>779</v>
      </c>
      <c r="AJ1486" s="38" t="s">
        <v>160</v>
      </c>
      <c r="AK1486" s="38" t="s">
        <v>587</v>
      </c>
      <c r="AL1486" s="38" t="s">
        <v>1198</v>
      </c>
      <c r="AM1486" s="38" t="s">
        <v>1181</v>
      </c>
      <c r="AN1486" s="38" t="s">
        <v>587</v>
      </c>
      <c r="AO1486" s="38" t="s">
        <v>1197</v>
      </c>
      <c r="AP1486" s="38" t="s">
        <v>1186</v>
      </c>
      <c r="AQ1486" s="38" t="s">
        <v>587</v>
      </c>
      <c r="AR1486" s="38" t="s">
        <v>192</v>
      </c>
      <c r="AS1486" s="38">
        <v>4</v>
      </c>
      <c r="AT1486" s="38">
        <v>4</v>
      </c>
      <c r="AU1486" s="38" t="s">
        <v>169</v>
      </c>
      <c r="AZ1486" s="38" t="s">
        <v>1194</v>
      </c>
      <c r="BG1486" s="38">
        <v>1.18</v>
      </c>
      <c r="BH1486" s="38">
        <v>1.1299999999999999</v>
      </c>
      <c r="BJ1486" s="38">
        <v>2.65</v>
      </c>
      <c r="BK1486" s="38">
        <v>2.39</v>
      </c>
      <c r="BL1486" s="38" t="s">
        <v>709</v>
      </c>
      <c r="BM1486" s="38">
        <v>2470</v>
      </c>
      <c r="BN1486" s="38">
        <v>2300</v>
      </c>
      <c r="BO1486" s="38" t="s">
        <v>272</v>
      </c>
      <c r="BP1486" s="38">
        <v>37</v>
      </c>
      <c r="BQ1486" s="38">
        <v>58.3</v>
      </c>
      <c r="BS1486" s="38">
        <v>144</v>
      </c>
      <c r="BT1486" s="38">
        <v>145</v>
      </c>
      <c r="BV1486" s="38">
        <v>6.6</v>
      </c>
      <c r="BW1486" s="38">
        <v>6.8</v>
      </c>
      <c r="CH1486" s="38">
        <v>742</v>
      </c>
      <c r="CI1486" s="38">
        <v>766</v>
      </c>
      <c r="CJ1486" s="38" t="s">
        <v>1200</v>
      </c>
      <c r="DI1486" s="38">
        <v>29</v>
      </c>
      <c r="DJ1486" s="38">
        <v>28</v>
      </c>
      <c r="DK1486" s="38" t="s">
        <v>196</v>
      </c>
      <c r="EM1486" s="38">
        <v>1900</v>
      </c>
      <c r="EN1486" s="38">
        <v>1810</v>
      </c>
      <c r="EO1486" s="38" t="s">
        <v>512</v>
      </c>
      <c r="EP1486" s="38">
        <v>36.700000000000003</v>
      </c>
      <c r="EQ1486" s="38">
        <v>31.2</v>
      </c>
      <c r="FH1486" s="38">
        <f t="shared" si="249"/>
        <v>2.3760000000000001E-3</v>
      </c>
      <c r="FI1486" s="38">
        <f>170*0.000012</f>
        <v>2.0400000000000001E-3</v>
      </c>
      <c r="FJ1486" s="38" t="s">
        <v>1199</v>
      </c>
      <c r="FO1486" s="31">
        <v>99999</v>
      </c>
      <c r="FP1486" s="31">
        <v>99999</v>
      </c>
      <c r="FQ1486" s="31"/>
      <c r="FR1486" s="38" t="s">
        <v>515</v>
      </c>
      <c r="FT1486" s="38">
        <v>68</v>
      </c>
    </row>
    <row r="1487" spans="1:176" s="38" customFormat="1" x14ac:dyDescent="0.25">
      <c r="A1487" s="38">
        <v>68</v>
      </c>
      <c r="B1487" s="38" t="s">
        <v>1171</v>
      </c>
      <c r="C1487" s="38" t="s">
        <v>1172</v>
      </c>
      <c r="D1487" s="38">
        <v>2011</v>
      </c>
      <c r="E1487" s="38">
        <v>1995</v>
      </c>
      <c r="F1487" s="38" t="s">
        <v>342</v>
      </c>
      <c r="G1487" s="38" t="s">
        <v>1174</v>
      </c>
      <c r="H1487" s="38">
        <f t="shared" si="246"/>
        <v>43.3</v>
      </c>
      <c r="I1487" s="38">
        <f t="shared" si="247"/>
        <v>-89.35</v>
      </c>
      <c r="J1487" s="38">
        <v>317.10000000000002</v>
      </c>
      <c r="P1487" s="57" t="s">
        <v>1910</v>
      </c>
      <c r="Q1487" s="57" t="s">
        <v>994</v>
      </c>
      <c r="R1487" s="57" t="s">
        <v>1173</v>
      </c>
      <c r="S1487" s="57" t="s">
        <v>1570</v>
      </c>
      <c r="T1487" s="57" t="s">
        <v>1570</v>
      </c>
      <c r="U1487" s="57" t="s">
        <v>1555</v>
      </c>
      <c r="V1487" s="57" t="s">
        <v>1910</v>
      </c>
      <c r="Z1487" s="38" t="s">
        <v>531</v>
      </c>
      <c r="AD1487" s="38" t="s">
        <v>1505</v>
      </c>
      <c r="AE1487" s="38" t="s">
        <v>142</v>
      </c>
      <c r="AF1487" s="152" t="s">
        <v>666</v>
      </c>
      <c r="AG1487" s="38" t="s">
        <v>1769</v>
      </c>
      <c r="AH1487" s="155" t="s">
        <v>1791</v>
      </c>
      <c r="AI1487" s="38" t="s">
        <v>779</v>
      </c>
      <c r="AJ1487" s="38" t="s">
        <v>160</v>
      </c>
      <c r="AK1487" s="38" t="s">
        <v>587</v>
      </c>
      <c r="AL1487" s="38" t="s">
        <v>1198</v>
      </c>
      <c r="AM1487" s="38" t="s">
        <v>1181</v>
      </c>
      <c r="AN1487" s="38" t="s">
        <v>587</v>
      </c>
      <c r="AO1487" s="38" t="s">
        <v>1197</v>
      </c>
      <c r="AP1487" s="38" t="s">
        <v>1187</v>
      </c>
      <c r="AQ1487" s="38" t="s">
        <v>587</v>
      </c>
      <c r="AR1487" s="38" t="s">
        <v>192</v>
      </c>
      <c r="AS1487" s="38">
        <v>4</v>
      </c>
      <c r="AT1487" s="38">
        <v>4</v>
      </c>
      <c r="AU1487" s="38" t="s">
        <v>169</v>
      </c>
      <c r="AZ1487" s="38" t="s">
        <v>1195</v>
      </c>
      <c r="BG1487" s="38">
        <v>1.18</v>
      </c>
      <c r="BH1487" s="38">
        <v>1.32</v>
      </c>
      <c r="BJ1487" s="38">
        <v>2.65</v>
      </c>
      <c r="BK1487" s="38">
        <v>2.39</v>
      </c>
      <c r="BL1487" s="38" t="s">
        <v>709</v>
      </c>
      <c r="BM1487" s="38">
        <v>2470</v>
      </c>
      <c r="BN1487" s="38">
        <v>2400</v>
      </c>
      <c r="BO1487" s="38" t="s">
        <v>272</v>
      </c>
      <c r="BP1487" s="38">
        <v>37</v>
      </c>
      <c r="BQ1487" s="38">
        <v>56.3</v>
      </c>
      <c r="BS1487" s="38">
        <v>144</v>
      </c>
      <c r="BT1487" s="38">
        <v>173</v>
      </c>
      <c r="BV1487" s="38">
        <v>6.6</v>
      </c>
      <c r="BW1487" s="38">
        <v>6.7</v>
      </c>
      <c r="CH1487" s="38">
        <v>742</v>
      </c>
      <c r="CI1487" s="38">
        <v>829</v>
      </c>
      <c r="CJ1487" s="38" t="s">
        <v>1200</v>
      </c>
      <c r="DI1487" s="38">
        <v>29</v>
      </c>
      <c r="DJ1487" s="38">
        <v>26</v>
      </c>
      <c r="DK1487" s="38" t="s">
        <v>196</v>
      </c>
      <c r="EM1487" s="38">
        <v>1900</v>
      </c>
      <c r="EN1487" s="38">
        <v>1890</v>
      </c>
      <c r="EO1487" s="38" t="s">
        <v>512</v>
      </c>
      <c r="EP1487" s="38">
        <v>36.700000000000003</v>
      </c>
      <c r="EQ1487" s="38">
        <v>37.9</v>
      </c>
      <c r="FH1487" s="38">
        <f t="shared" si="249"/>
        <v>2.3760000000000001E-3</v>
      </c>
      <c r="FI1487" s="38">
        <f>204*0.000012</f>
        <v>2.4480000000000001E-3</v>
      </c>
      <c r="FJ1487" s="38" t="s">
        <v>1199</v>
      </c>
      <c r="FO1487" s="31">
        <v>99999</v>
      </c>
      <c r="FP1487" s="31">
        <v>99999</v>
      </c>
      <c r="FQ1487" s="31"/>
      <c r="FR1487" s="38" t="s">
        <v>515</v>
      </c>
      <c r="FT1487" s="38">
        <v>68</v>
      </c>
    </row>
    <row r="1488" spans="1:176" s="38" customFormat="1" x14ac:dyDescent="0.25">
      <c r="A1488" s="38">
        <v>68</v>
      </c>
      <c r="B1488" s="38" t="s">
        <v>1171</v>
      </c>
      <c r="C1488" s="38" t="s">
        <v>1172</v>
      </c>
      <c r="D1488" s="38">
        <v>2011</v>
      </c>
      <c r="E1488" s="38">
        <v>1995</v>
      </c>
      <c r="F1488" s="38" t="s">
        <v>342</v>
      </c>
      <c r="G1488" s="38" t="s">
        <v>1174</v>
      </c>
      <c r="H1488" s="38">
        <f t="shared" si="246"/>
        <v>43.3</v>
      </c>
      <c r="I1488" s="38">
        <f t="shared" si="247"/>
        <v>-89.35</v>
      </c>
      <c r="J1488" s="38">
        <v>317.10000000000002</v>
      </c>
      <c r="P1488" s="57" t="s">
        <v>1910</v>
      </c>
      <c r="Q1488" s="57" t="s">
        <v>994</v>
      </c>
      <c r="R1488" s="57" t="s">
        <v>1173</v>
      </c>
      <c r="S1488" s="57" t="s">
        <v>1570</v>
      </c>
      <c r="T1488" s="57" t="s">
        <v>1570</v>
      </c>
      <c r="U1488" s="57" t="s">
        <v>1555</v>
      </c>
      <c r="V1488" s="57" t="s">
        <v>1910</v>
      </c>
      <c r="Z1488" s="38" t="s">
        <v>531</v>
      </c>
      <c r="AD1488" s="38" t="s">
        <v>1505</v>
      </c>
      <c r="AE1488" s="38" t="s">
        <v>727</v>
      </c>
      <c r="AF1488" s="152" t="s">
        <v>727</v>
      </c>
      <c r="AG1488" s="38" t="s">
        <v>1769</v>
      </c>
      <c r="AH1488" s="155" t="s">
        <v>1791</v>
      </c>
      <c r="AI1488" s="38" t="s">
        <v>779</v>
      </c>
      <c r="AJ1488" s="38" t="s">
        <v>1787</v>
      </c>
      <c r="AK1488" s="38" t="s">
        <v>587</v>
      </c>
      <c r="AL1488" s="38" t="s">
        <v>1198</v>
      </c>
      <c r="AM1488" s="38" t="s">
        <v>1181</v>
      </c>
      <c r="AN1488" s="38" t="s">
        <v>587</v>
      </c>
      <c r="AO1488" s="38" t="s">
        <v>1197</v>
      </c>
      <c r="AP1488" s="38" t="s">
        <v>1188</v>
      </c>
      <c r="AQ1488" s="38" t="s">
        <v>587</v>
      </c>
      <c r="AR1488" s="38" t="s">
        <v>192</v>
      </c>
      <c r="AS1488" s="38">
        <v>4</v>
      </c>
      <c r="AT1488" s="38">
        <v>4</v>
      </c>
      <c r="AU1488" s="38" t="s">
        <v>169</v>
      </c>
      <c r="AZ1488" s="38" t="s">
        <v>1196</v>
      </c>
      <c r="BG1488" s="38">
        <v>1.18</v>
      </c>
      <c r="BH1488" s="38">
        <v>1.24</v>
      </c>
      <c r="BJ1488" s="38">
        <v>2.65</v>
      </c>
      <c r="BK1488" s="38">
        <v>3.36</v>
      </c>
      <c r="BL1488" s="38" t="s">
        <v>709</v>
      </c>
      <c r="BM1488" s="38">
        <v>2470</v>
      </c>
      <c r="BN1488" s="38">
        <v>3360</v>
      </c>
      <c r="BO1488" s="38" t="s">
        <v>272</v>
      </c>
      <c r="BP1488" s="38">
        <v>37</v>
      </c>
      <c r="BQ1488" s="38">
        <v>49.8</v>
      </c>
      <c r="BS1488" s="38">
        <v>144</v>
      </c>
      <c r="BT1488" s="38">
        <v>163</v>
      </c>
      <c r="BV1488" s="38">
        <v>6.6</v>
      </c>
      <c r="BW1488" s="38">
        <v>6.2</v>
      </c>
      <c r="CH1488" s="38">
        <v>742</v>
      </c>
      <c r="CI1488" s="38">
        <v>889</v>
      </c>
      <c r="CJ1488" s="38" t="s">
        <v>1200</v>
      </c>
      <c r="DI1488" s="38">
        <v>29</v>
      </c>
      <c r="DJ1488" s="38">
        <v>29</v>
      </c>
      <c r="DK1488" s="38" t="s">
        <v>196</v>
      </c>
      <c r="EM1488" s="38">
        <v>1900</v>
      </c>
      <c r="EN1488" s="38">
        <v>2350</v>
      </c>
      <c r="EO1488" s="38" t="s">
        <v>512</v>
      </c>
      <c r="EP1488" s="38">
        <v>36.700000000000003</v>
      </c>
      <c r="EQ1488" s="38">
        <v>61.2</v>
      </c>
      <c r="FH1488" s="38">
        <f t="shared" si="249"/>
        <v>2.3760000000000001E-3</v>
      </c>
      <c r="FI1488" s="38">
        <f>523*0.000012</f>
        <v>6.2760000000000003E-3</v>
      </c>
      <c r="FJ1488" s="38" t="s">
        <v>1199</v>
      </c>
      <c r="FO1488" s="31">
        <v>99999</v>
      </c>
      <c r="FP1488" s="31">
        <v>99999</v>
      </c>
      <c r="FQ1488" s="31"/>
      <c r="FR1488" s="38" t="s">
        <v>515</v>
      </c>
      <c r="FT1488" s="38">
        <v>68</v>
      </c>
    </row>
    <row r="1489" spans="1:176" s="109" customFormat="1" x14ac:dyDescent="0.25">
      <c r="A1489" s="109">
        <v>68</v>
      </c>
      <c r="B1489" s="109" t="s">
        <v>1171</v>
      </c>
      <c r="C1489" s="109" t="s">
        <v>1172</v>
      </c>
      <c r="D1489" s="109">
        <v>2011</v>
      </c>
      <c r="E1489" s="109">
        <v>1995</v>
      </c>
      <c r="F1489" s="109" t="s">
        <v>342</v>
      </c>
      <c r="G1489" s="109" t="s">
        <v>1174</v>
      </c>
      <c r="H1489" s="109">
        <f t="shared" si="246"/>
        <v>43.3</v>
      </c>
      <c r="I1489" s="109">
        <f t="shared" si="247"/>
        <v>-89.35</v>
      </c>
      <c r="J1489" s="109">
        <v>317.10000000000002</v>
      </c>
      <c r="P1489" s="110" t="s">
        <v>1910</v>
      </c>
      <c r="Q1489" s="110" t="s">
        <v>994</v>
      </c>
      <c r="R1489" s="110" t="s">
        <v>1173</v>
      </c>
      <c r="S1489" s="110" t="s">
        <v>1590</v>
      </c>
      <c r="T1489" s="56" t="s">
        <v>1570</v>
      </c>
      <c r="U1489" s="56" t="s">
        <v>1555</v>
      </c>
      <c r="V1489" s="56" t="s">
        <v>1905</v>
      </c>
      <c r="Z1489" s="109" t="s">
        <v>531</v>
      </c>
      <c r="AD1489" s="31" t="s">
        <v>1505</v>
      </c>
      <c r="AE1489" s="109" t="s">
        <v>1707</v>
      </c>
      <c r="AF1489" s="152" t="s">
        <v>1761</v>
      </c>
      <c r="AG1489" s="109" t="s">
        <v>160</v>
      </c>
      <c r="AH1489" s="159" t="s">
        <v>1791</v>
      </c>
      <c r="AI1489" s="109" t="s">
        <v>160</v>
      </c>
      <c r="AJ1489" s="109" t="s">
        <v>1081</v>
      </c>
      <c r="AK1489" s="109" t="s">
        <v>587</v>
      </c>
      <c r="AL1489" s="109" t="s">
        <v>562</v>
      </c>
      <c r="AM1489" s="109" t="s">
        <v>1181</v>
      </c>
      <c r="AN1489" s="109" t="s">
        <v>587</v>
      </c>
      <c r="AO1489" s="109" t="s">
        <v>1182</v>
      </c>
      <c r="AP1489" s="109" t="s">
        <v>1183</v>
      </c>
      <c r="AQ1489" s="109" t="s">
        <v>587</v>
      </c>
      <c r="AR1489" s="109" t="s">
        <v>192</v>
      </c>
      <c r="AS1489" s="109">
        <v>4</v>
      </c>
      <c r="AT1489" s="109">
        <v>4</v>
      </c>
      <c r="AU1489" s="109" t="s">
        <v>169</v>
      </c>
      <c r="AZ1489" s="109" t="s">
        <v>1175</v>
      </c>
      <c r="BG1489" s="109">
        <v>1.41</v>
      </c>
      <c r="BH1489" s="109">
        <v>1.47</v>
      </c>
      <c r="BJ1489" s="109">
        <v>2.1800000000000002</v>
      </c>
      <c r="BK1489" s="109">
        <v>2.08</v>
      </c>
      <c r="BL1489" s="109" t="s">
        <v>709</v>
      </c>
      <c r="BM1489" s="109">
        <v>2100</v>
      </c>
      <c r="BN1489" s="109">
        <v>2100</v>
      </c>
      <c r="BO1489" s="109" t="s">
        <v>272</v>
      </c>
      <c r="BP1489" s="109">
        <v>42</v>
      </c>
      <c r="BQ1489" s="109">
        <v>31.8</v>
      </c>
      <c r="BS1489" s="109">
        <v>134</v>
      </c>
      <c r="BT1489" s="109">
        <v>89</v>
      </c>
      <c r="BV1489" s="109">
        <v>6.4</v>
      </c>
      <c r="BW1489" s="109">
        <v>6.6</v>
      </c>
      <c r="CH1489" s="109">
        <v>809</v>
      </c>
      <c r="CI1489" s="109">
        <v>861</v>
      </c>
      <c r="CJ1489" s="109" t="s">
        <v>1200</v>
      </c>
      <c r="DI1489" s="109">
        <v>27</v>
      </c>
      <c r="DJ1489" s="109">
        <v>26</v>
      </c>
      <c r="DK1489" s="109" t="s">
        <v>196</v>
      </c>
      <c r="EM1489" s="109">
        <v>1600</v>
      </c>
      <c r="EN1489" s="109">
        <v>1670</v>
      </c>
      <c r="EO1489" s="109" t="s">
        <v>512</v>
      </c>
      <c r="EP1489" s="109">
        <v>21.4</v>
      </c>
      <c r="EQ1489" s="109">
        <v>22.3</v>
      </c>
      <c r="FH1489" s="109">
        <f>169*0.000012</f>
        <v>2.0279999999999999E-3</v>
      </c>
      <c r="FI1489" s="109">
        <f>150*0.000012</f>
        <v>1.8E-3</v>
      </c>
      <c r="FJ1489" s="109" t="s">
        <v>1190</v>
      </c>
      <c r="FO1489" s="31">
        <v>99999</v>
      </c>
      <c r="FP1489" s="31">
        <v>99999</v>
      </c>
      <c r="FQ1489" s="31"/>
      <c r="FR1489" s="31" t="s">
        <v>515</v>
      </c>
      <c r="FT1489" s="109">
        <v>68</v>
      </c>
    </row>
    <row r="1490" spans="1:176" s="109" customFormat="1" x14ac:dyDescent="0.25">
      <c r="A1490" s="109">
        <v>68</v>
      </c>
      <c r="B1490" s="109" t="s">
        <v>1171</v>
      </c>
      <c r="C1490" s="109" t="s">
        <v>1172</v>
      </c>
      <c r="D1490" s="109">
        <v>2011</v>
      </c>
      <c r="E1490" s="109">
        <v>1995</v>
      </c>
      <c r="F1490" s="109" t="s">
        <v>342</v>
      </c>
      <c r="G1490" s="109" t="s">
        <v>1174</v>
      </c>
      <c r="H1490" s="109">
        <f t="shared" si="246"/>
        <v>43.3</v>
      </c>
      <c r="I1490" s="109">
        <f t="shared" si="247"/>
        <v>-89.35</v>
      </c>
      <c r="J1490" s="109">
        <v>317.10000000000002</v>
      </c>
      <c r="P1490" s="110" t="s">
        <v>1910</v>
      </c>
      <c r="Q1490" s="110" t="s">
        <v>994</v>
      </c>
      <c r="R1490" s="110" t="s">
        <v>1173</v>
      </c>
      <c r="S1490" s="110" t="s">
        <v>1590</v>
      </c>
      <c r="T1490" s="56" t="s">
        <v>1570</v>
      </c>
      <c r="U1490" s="56" t="s">
        <v>1555</v>
      </c>
      <c r="V1490" s="56" t="s">
        <v>1905</v>
      </c>
      <c r="Z1490" s="109" t="s">
        <v>531</v>
      </c>
      <c r="AD1490" s="31" t="s">
        <v>1505</v>
      </c>
      <c r="AE1490" s="109" t="s">
        <v>142</v>
      </c>
      <c r="AF1490" s="152" t="s">
        <v>666</v>
      </c>
      <c r="AG1490" s="109" t="s">
        <v>160</v>
      </c>
      <c r="AH1490" s="159" t="s">
        <v>1791</v>
      </c>
      <c r="AI1490" s="109" t="s">
        <v>160</v>
      </c>
      <c r="AJ1490" s="109" t="s">
        <v>160</v>
      </c>
      <c r="AK1490" s="109" t="s">
        <v>212</v>
      </c>
      <c r="AL1490" s="109" t="s">
        <v>562</v>
      </c>
      <c r="AM1490" s="109" t="s">
        <v>1181</v>
      </c>
      <c r="AN1490" s="109" t="s">
        <v>587</v>
      </c>
      <c r="AO1490" s="109" t="s">
        <v>1182</v>
      </c>
      <c r="AP1490" s="109" t="s">
        <v>1184</v>
      </c>
      <c r="AQ1490" s="109" t="s">
        <v>587</v>
      </c>
      <c r="AR1490" s="109" t="s">
        <v>192</v>
      </c>
      <c r="AS1490" s="109">
        <v>4</v>
      </c>
      <c r="AT1490" s="109">
        <v>4</v>
      </c>
      <c r="AU1490" s="109" t="s">
        <v>169</v>
      </c>
      <c r="AZ1490" s="109" t="s">
        <v>1176</v>
      </c>
      <c r="BG1490" s="109">
        <v>1.41</v>
      </c>
      <c r="BH1490" s="109">
        <v>1.48</v>
      </c>
      <c r="BJ1490" s="109">
        <v>2.1800000000000002</v>
      </c>
      <c r="BK1490" s="109">
        <v>2.11</v>
      </c>
      <c r="BL1490" s="109" t="s">
        <v>709</v>
      </c>
      <c r="BM1490" s="109">
        <v>2100</v>
      </c>
      <c r="BN1490" s="109">
        <v>2100</v>
      </c>
      <c r="BO1490" s="109" t="s">
        <v>272</v>
      </c>
      <c r="BP1490" s="109">
        <v>42</v>
      </c>
      <c r="BQ1490" s="109">
        <v>40.799999999999997</v>
      </c>
      <c r="BS1490" s="109">
        <v>134</v>
      </c>
      <c r="BT1490" s="109">
        <v>72</v>
      </c>
      <c r="BV1490" s="109">
        <v>6.4</v>
      </c>
      <c r="BW1490" s="109">
        <v>6.8</v>
      </c>
      <c r="CH1490" s="109">
        <v>809</v>
      </c>
      <c r="CI1490" s="109">
        <v>857</v>
      </c>
      <c r="CJ1490" s="109" t="s">
        <v>1200</v>
      </c>
      <c r="DI1490" s="109">
        <v>27</v>
      </c>
      <c r="DJ1490" s="109">
        <v>26</v>
      </c>
      <c r="DK1490" s="109" t="s">
        <v>196</v>
      </c>
      <c r="EM1490" s="109">
        <v>1600</v>
      </c>
      <c r="EN1490" s="109">
        <v>1610</v>
      </c>
      <c r="EO1490" s="109" t="s">
        <v>512</v>
      </c>
      <c r="EP1490" s="109">
        <v>21.4</v>
      </c>
      <c r="EQ1490" s="109">
        <v>23.3</v>
      </c>
      <c r="FH1490" s="109">
        <f t="shared" ref="FH1490:FH1494" si="250">169*0.000012</f>
        <v>2.0279999999999999E-3</v>
      </c>
      <c r="FI1490" s="109">
        <f>144*0.000012</f>
        <v>1.7279999999999999E-3</v>
      </c>
      <c r="FJ1490" s="109" t="s">
        <v>1190</v>
      </c>
      <c r="FO1490" s="31">
        <v>99999</v>
      </c>
      <c r="FP1490" s="31">
        <v>99999</v>
      </c>
      <c r="FQ1490" s="31"/>
      <c r="FR1490" s="31" t="s">
        <v>515</v>
      </c>
      <c r="FT1490" s="109">
        <v>68</v>
      </c>
    </row>
    <row r="1491" spans="1:176" s="109" customFormat="1" x14ac:dyDescent="0.25">
      <c r="A1491" s="109">
        <v>68</v>
      </c>
      <c r="B1491" s="109" t="s">
        <v>1171</v>
      </c>
      <c r="C1491" s="109" t="s">
        <v>1172</v>
      </c>
      <c r="D1491" s="109">
        <v>2011</v>
      </c>
      <c r="E1491" s="109">
        <v>1995</v>
      </c>
      <c r="F1491" s="109" t="s">
        <v>342</v>
      </c>
      <c r="G1491" s="109" t="s">
        <v>1174</v>
      </c>
      <c r="H1491" s="109">
        <f t="shared" si="246"/>
        <v>43.3</v>
      </c>
      <c r="I1491" s="109">
        <f t="shared" si="247"/>
        <v>-89.35</v>
      </c>
      <c r="J1491" s="109">
        <v>317.10000000000002</v>
      </c>
      <c r="P1491" s="110" t="s">
        <v>1910</v>
      </c>
      <c r="Q1491" s="110" t="s">
        <v>994</v>
      </c>
      <c r="R1491" s="110" t="s">
        <v>1173</v>
      </c>
      <c r="S1491" s="110" t="s">
        <v>1590</v>
      </c>
      <c r="T1491" s="56" t="s">
        <v>1570</v>
      </c>
      <c r="U1491" s="56" t="s">
        <v>1555</v>
      </c>
      <c r="V1491" s="56" t="s">
        <v>1905</v>
      </c>
      <c r="Z1491" s="109" t="s">
        <v>531</v>
      </c>
      <c r="AD1491" s="31" t="s">
        <v>1505</v>
      </c>
      <c r="AE1491" s="109" t="s">
        <v>142</v>
      </c>
      <c r="AF1491" s="152" t="s">
        <v>666</v>
      </c>
      <c r="AG1491" s="109" t="s">
        <v>160</v>
      </c>
      <c r="AH1491" s="159" t="s">
        <v>1791</v>
      </c>
      <c r="AI1491" s="109" t="s">
        <v>160</v>
      </c>
      <c r="AJ1491" s="109" t="s">
        <v>160</v>
      </c>
      <c r="AK1491" s="109" t="s">
        <v>212</v>
      </c>
      <c r="AL1491" s="109" t="s">
        <v>562</v>
      </c>
      <c r="AM1491" s="109" t="s">
        <v>1181</v>
      </c>
      <c r="AN1491" s="109" t="s">
        <v>587</v>
      </c>
      <c r="AO1491" s="109" t="s">
        <v>1182</v>
      </c>
      <c r="AP1491" s="109" t="s">
        <v>1185</v>
      </c>
      <c r="AQ1491" s="109" t="s">
        <v>587</v>
      </c>
      <c r="AR1491" s="109" t="s">
        <v>192</v>
      </c>
      <c r="AS1491" s="109">
        <v>4</v>
      </c>
      <c r="AT1491" s="109">
        <v>4</v>
      </c>
      <c r="AU1491" s="109" t="s">
        <v>169</v>
      </c>
      <c r="AZ1491" s="109" t="s">
        <v>1177</v>
      </c>
      <c r="BG1491" s="109">
        <v>1.41</v>
      </c>
      <c r="BH1491" s="109">
        <v>1.37</v>
      </c>
      <c r="BJ1491" s="109">
        <v>2.1800000000000002</v>
      </c>
      <c r="BK1491" s="109">
        <v>2.2000000000000002</v>
      </c>
      <c r="BL1491" s="109" t="s">
        <v>709</v>
      </c>
      <c r="BM1491" s="109">
        <v>2100</v>
      </c>
      <c r="BN1491" s="109">
        <v>2200</v>
      </c>
      <c r="BO1491" s="109" t="s">
        <v>272</v>
      </c>
      <c r="BP1491" s="109">
        <v>42</v>
      </c>
      <c r="BQ1491" s="109">
        <v>50</v>
      </c>
      <c r="BS1491" s="109">
        <v>134</v>
      </c>
      <c r="BT1491" s="109">
        <v>83</v>
      </c>
      <c r="BV1491" s="109">
        <v>6.4</v>
      </c>
      <c r="BW1491" s="109">
        <v>6.6</v>
      </c>
      <c r="CH1491" s="109">
        <v>809</v>
      </c>
      <c r="CI1491" s="109">
        <v>842</v>
      </c>
      <c r="CJ1491" s="109" t="s">
        <v>1200</v>
      </c>
      <c r="DI1491" s="109">
        <v>27</v>
      </c>
      <c r="DJ1491" s="109">
        <v>25</v>
      </c>
      <c r="DK1491" s="109" t="s">
        <v>196</v>
      </c>
      <c r="EM1491" s="109">
        <v>1600</v>
      </c>
      <c r="EN1491" s="109">
        <v>1540</v>
      </c>
      <c r="EO1491" s="109" t="s">
        <v>512</v>
      </c>
      <c r="EP1491" s="109">
        <v>21.4</v>
      </c>
      <c r="EQ1491" s="109">
        <v>25.9</v>
      </c>
      <c r="FH1491" s="109">
        <f t="shared" si="250"/>
        <v>2.0279999999999999E-3</v>
      </c>
      <c r="FI1491" s="109">
        <f>114*0.000012</f>
        <v>1.3680000000000001E-3</v>
      </c>
      <c r="FJ1491" s="109" t="s">
        <v>1199</v>
      </c>
      <c r="FO1491" s="31">
        <v>99999</v>
      </c>
      <c r="FP1491" s="31">
        <v>99999</v>
      </c>
      <c r="FQ1491" s="31"/>
      <c r="FR1491" s="31" t="s">
        <v>515</v>
      </c>
      <c r="FT1491" s="109">
        <v>68</v>
      </c>
    </row>
    <row r="1492" spans="1:176" s="109" customFormat="1" x14ac:dyDescent="0.25">
      <c r="A1492" s="109">
        <v>68</v>
      </c>
      <c r="B1492" s="109" t="s">
        <v>1171</v>
      </c>
      <c r="C1492" s="109" t="s">
        <v>1172</v>
      </c>
      <c r="D1492" s="109">
        <v>2011</v>
      </c>
      <c r="E1492" s="109">
        <v>1995</v>
      </c>
      <c r="F1492" s="109" t="s">
        <v>342</v>
      </c>
      <c r="G1492" s="109" t="s">
        <v>1174</v>
      </c>
      <c r="H1492" s="109">
        <f t="shared" si="246"/>
        <v>43.3</v>
      </c>
      <c r="I1492" s="109">
        <f t="shared" si="247"/>
        <v>-89.35</v>
      </c>
      <c r="J1492" s="109">
        <v>317.10000000000002</v>
      </c>
      <c r="P1492" s="110" t="s">
        <v>1910</v>
      </c>
      <c r="Q1492" s="110" t="s">
        <v>994</v>
      </c>
      <c r="R1492" s="110" t="s">
        <v>1173</v>
      </c>
      <c r="S1492" s="110" t="s">
        <v>1590</v>
      </c>
      <c r="T1492" s="56" t="s">
        <v>1570</v>
      </c>
      <c r="U1492" s="56" t="s">
        <v>1555</v>
      </c>
      <c r="V1492" s="56" t="s">
        <v>1905</v>
      </c>
      <c r="Z1492" s="109" t="s">
        <v>531</v>
      </c>
      <c r="AD1492" s="31" t="s">
        <v>1505</v>
      </c>
      <c r="AE1492" s="109" t="s">
        <v>142</v>
      </c>
      <c r="AF1492" s="152" t="s">
        <v>666</v>
      </c>
      <c r="AG1492" s="109" t="s">
        <v>160</v>
      </c>
      <c r="AH1492" s="159" t="s">
        <v>1791</v>
      </c>
      <c r="AI1492" s="109" t="s">
        <v>160</v>
      </c>
      <c r="AJ1492" s="109" t="s">
        <v>160</v>
      </c>
      <c r="AK1492" s="109" t="s">
        <v>212</v>
      </c>
      <c r="AL1492" s="109" t="s">
        <v>562</v>
      </c>
      <c r="AM1492" s="109" t="s">
        <v>1181</v>
      </c>
      <c r="AN1492" s="109" t="s">
        <v>587</v>
      </c>
      <c r="AO1492" s="109" t="s">
        <v>1182</v>
      </c>
      <c r="AP1492" s="109" t="s">
        <v>1186</v>
      </c>
      <c r="AQ1492" s="109" t="s">
        <v>587</v>
      </c>
      <c r="AR1492" s="109" t="s">
        <v>192</v>
      </c>
      <c r="AS1492" s="109">
        <v>4</v>
      </c>
      <c r="AT1492" s="109">
        <v>4</v>
      </c>
      <c r="AU1492" s="109" t="s">
        <v>169</v>
      </c>
      <c r="AZ1492" s="109" t="s">
        <v>1178</v>
      </c>
      <c r="BG1492" s="109">
        <v>1.41</v>
      </c>
      <c r="BH1492" s="109">
        <v>1.37</v>
      </c>
      <c r="BJ1492" s="109">
        <v>2.1800000000000002</v>
      </c>
      <c r="BK1492" s="109">
        <v>2.2999999999999998</v>
      </c>
      <c r="BL1492" s="109" t="s">
        <v>709</v>
      </c>
      <c r="BM1492" s="109">
        <v>2100</v>
      </c>
      <c r="BN1492" s="109">
        <v>2300</v>
      </c>
      <c r="BO1492" s="109" t="s">
        <v>272</v>
      </c>
      <c r="BP1492" s="109">
        <v>42</v>
      </c>
      <c r="BQ1492" s="109">
        <v>46.8</v>
      </c>
      <c r="BS1492" s="109">
        <v>134</v>
      </c>
      <c r="BT1492" s="109">
        <v>79</v>
      </c>
      <c r="BV1492" s="109">
        <v>6.4</v>
      </c>
      <c r="BW1492" s="109">
        <v>6.8</v>
      </c>
      <c r="CH1492" s="109">
        <v>809</v>
      </c>
      <c r="CI1492" s="109">
        <v>851</v>
      </c>
      <c r="CJ1492" s="109" t="s">
        <v>1200</v>
      </c>
      <c r="DI1492" s="109">
        <v>27</v>
      </c>
      <c r="DJ1492" s="109">
        <v>26</v>
      </c>
      <c r="DK1492" s="109" t="s">
        <v>196</v>
      </c>
      <c r="EM1492" s="109">
        <v>1600</v>
      </c>
      <c r="EN1492" s="109">
        <v>1840</v>
      </c>
      <c r="EO1492" s="109" t="s">
        <v>512</v>
      </c>
      <c r="EP1492" s="109">
        <v>21.4</v>
      </c>
      <c r="EQ1492" s="109">
        <v>29.8</v>
      </c>
      <c r="FH1492" s="109">
        <f t="shared" si="250"/>
        <v>2.0279999999999999E-3</v>
      </c>
      <c r="FI1492" s="109">
        <f>134*0.000012</f>
        <v>1.6080000000000001E-3</v>
      </c>
      <c r="FJ1492" s="109" t="s">
        <v>1199</v>
      </c>
      <c r="FO1492" s="31">
        <v>99999</v>
      </c>
      <c r="FP1492" s="31">
        <v>99999</v>
      </c>
      <c r="FQ1492" s="31"/>
      <c r="FR1492" s="31" t="s">
        <v>515</v>
      </c>
      <c r="FT1492" s="109">
        <v>68</v>
      </c>
    </row>
    <row r="1493" spans="1:176" s="109" customFormat="1" x14ac:dyDescent="0.25">
      <c r="A1493" s="109">
        <v>68</v>
      </c>
      <c r="B1493" s="109" t="s">
        <v>1171</v>
      </c>
      <c r="C1493" s="109" t="s">
        <v>1172</v>
      </c>
      <c r="D1493" s="109">
        <v>2011</v>
      </c>
      <c r="E1493" s="109">
        <v>1995</v>
      </c>
      <c r="F1493" s="109" t="s">
        <v>342</v>
      </c>
      <c r="G1493" s="109" t="s">
        <v>1174</v>
      </c>
      <c r="H1493" s="109">
        <f t="shared" si="246"/>
        <v>43.3</v>
      </c>
      <c r="I1493" s="109">
        <f t="shared" si="247"/>
        <v>-89.35</v>
      </c>
      <c r="J1493" s="109">
        <v>317.10000000000002</v>
      </c>
      <c r="P1493" s="110" t="s">
        <v>1910</v>
      </c>
      <c r="Q1493" s="110" t="s">
        <v>994</v>
      </c>
      <c r="R1493" s="110" t="s">
        <v>1173</v>
      </c>
      <c r="S1493" s="110" t="s">
        <v>1590</v>
      </c>
      <c r="T1493" s="56" t="s">
        <v>1570</v>
      </c>
      <c r="U1493" s="56" t="s">
        <v>1555</v>
      </c>
      <c r="V1493" s="56" t="s">
        <v>1905</v>
      </c>
      <c r="Z1493" s="109" t="s">
        <v>531</v>
      </c>
      <c r="AD1493" s="31" t="s">
        <v>1505</v>
      </c>
      <c r="AE1493" s="109" t="s">
        <v>142</v>
      </c>
      <c r="AF1493" s="152" t="s">
        <v>666</v>
      </c>
      <c r="AG1493" s="109" t="s">
        <v>160</v>
      </c>
      <c r="AH1493" s="159" t="s">
        <v>1791</v>
      </c>
      <c r="AI1493" s="109" t="s">
        <v>160</v>
      </c>
      <c r="AJ1493" s="109" t="s">
        <v>160</v>
      </c>
      <c r="AK1493" s="109" t="s">
        <v>212</v>
      </c>
      <c r="AL1493" s="109" t="s">
        <v>562</v>
      </c>
      <c r="AM1493" s="109" t="s">
        <v>1181</v>
      </c>
      <c r="AN1493" s="109" t="s">
        <v>587</v>
      </c>
      <c r="AO1493" s="109" t="s">
        <v>1182</v>
      </c>
      <c r="AP1493" s="109" t="s">
        <v>1187</v>
      </c>
      <c r="AQ1493" s="109" t="s">
        <v>587</v>
      </c>
      <c r="AR1493" s="109" t="s">
        <v>192</v>
      </c>
      <c r="AS1493" s="109">
        <v>4</v>
      </c>
      <c r="AT1493" s="109">
        <v>4</v>
      </c>
      <c r="AU1493" s="109" t="s">
        <v>169</v>
      </c>
      <c r="AZ1493" s="109" t="s">
        <v>1179</v>
      </c>
      <c r="BG1493" s="109">
        <v>1.41</v>
      </c>
      <c r="BH1493" s="109">
        <v>1.41</v>
      </c>
      <c r="BJ1493" s="109">
        <v>2.1800000000000002</v>
      </c>
      <c r="BK1493" s="109">
        <v>2.4</v>
      </c>
      <c r="BL1493" s="109" t="s">
        <v>709</v>
      </c>
      <c r="BM1493" s="109">
        <v>2100</v>
      </c>
      <c r="BN1493" s="109">
        <v>2300</v>
      </c>
      <c r="BO1493" s="109" t="s">
        <v>272</v>
      </c>
      <c r="BP1493" s="109">
        <v>42</v>
      </c>
      <c r="BQ1493" s="109">
        <v>50.5</v>
      </c>
      <c r="BS1493" s="109">
        <v>134</v>
      </c>
      <c r="BT1493" s="109">
        <v>75</v>
      </c>
      <c r="BV1493" s="109">
        <v>6.4</v>
      </c>
      <c r="BW1493" s="109">
        <v>6.7</v>
      </c>
      <c r="CH1493" s="109">
        <v>809</v>
      </c>
      <c r="CI1493" s="109">
        <v>882</v>
      </c>
      <c r="CJ1493" s="109" t="s">
        <v>1200</v>
      </c>
      <c r="DI1493" s="109">
        <v>27</v>
      </c>
      <c r="DJ1493" s="109">
        <v>26</v>
      </c>
      <c r="DK1493" s="109" t="s">
        <v>196</v>
      </c>
      <c r="EM1493" s="109">
        <v>1600</v>
      </c>
      <c r="EN1493" s="109">
        <v>1820</v>
      </c>
      <c r="EO1493" s="109" t="s">
        <v>512</v>
      </c>
      <c r="EP1493" s="109">
        <v>21.4</v>
      </c>
      <c r="EQ1493" s="109">
        <v>30.9</v>
      </c>
      <c r="FH1493" s="109">
        <f t="shared" si="250"/>
        <v>2.0279999999999999E-3</v>
      </c>
      <c r="FI1493" s="109">
        <f>95*0.000012</f>
        <v>1.14E-3</v>
      </c>
      <c r="FJ1493" s="109" t="s">
        <v>1199</v>
      </c>
      <c r="FO1493" s="31">
        <v>99999</v>
      </c>
      <c r="FP1493" s="31">
        <v>99999</v>
      </c>
      <c r="FQ1493" s="31"/>
      <c r="FR1493" s="31" t="s">
        <v>515</v>
      </c>
      <c r="FT1493" s="109">
        <v>68</v>
      </c>
    </row>
    <row r="1494" spans="1:176" s="109" customFormat="1" x14ac:dyDescent="0.25">
      <c r="A1494" s="109">
        <v>68</v>
      </c>
      <c r="B1494" s="109" t="s">
        <v>1171</v>
      </c>
      <c r="C1494" s="109" t="s">
        <v>1172</v>
      </c>
      <c r="D1494" s="109">
        <v>2011</v>
      </c>
      <c r="E1494" s="109">
        <v>1995</v>
      </c>
      <c r="F1494" s="109" t="s">
        <v>342</v>
      </c>
      <c r="G1494" s="109" t="s">
        <v>1174</v>
      </c>
      <c r="H1494" s="109">
        <f t="shared" si="246"/>
        <v>43.3</v>
      </c>
      <c r="I1494" s="109">
        <f t="shared" si="247"/>
        <v>-89.35</v>
      </c>
      <c r="J1494" s="109">
        <v>317.10000000000002</v>
      </c>
      <c r="P1494" s="110" t="s">
        <v>1910</v>
      </c>
      <c r="Q1494" s="110" t="s">
        <v>994</v>
      </c>
      <c r="R1494" s="110" t="s">
        <v>1173</v>
      </c>
      <c r="S1494" s="110" t="s">
        <v>1590</v>
      </c>
      <c r="T1494" s="56" t="s">
        <v>1570</v>
      </c>
      <c r="U1494" s="56" t="s">
        <v>1555</v>
      </c>
      <c r="V1494" s="56" t="s">
        <v>1905</v>
      </c>
      <c r="Z1494" s="109" t="s">
        <v>531</v>
      </c>
      <c r="AD1494" s="31" t="s">
        <v>1505</v>
      </c>
      <c r="AE1494" s="109" t="s">
        <v>727</v>
      </c>
      <c r="AF1494" s="152" t="s">
        <v>727</v>
      </c>
      <c r="AG1494" s="109" t="s">
        <v>160</v>
      </c>
      <c r="AH1494" s="159" t="s">
        <v>1791</v>
      </c>
      <c r="AI1494" s="109" t="s">
        <v>160</v>
      </c>
      <c r="AJ1494" s="109" t="s">
        <v>1787</v>
      </c>
      <c r="AK1494" s="109" t="s">
        <v>587</v>
      </c>
      <c r="AL1494" s="109" t="s">
        <v>562</v>
      </c>
      <c r="AM1494" s="109" t="s">
        <v>1181</v>
      </c>
      <c r="AN1494" s="109" t="s">
        <v>587</v>
      </c>
      <c r="AO1494" s="109" t="s">
        <v>1182</v>
      </c>
      <c r="AP1494" s="109" t="s">
        <v>1188</v>
      </c>
      <c r="AQ1494" s="109" t="s">
        <v>587</v>
      </c>
      <c r="AR1494" s="109" t="s">
        <v>192</v>
      </c>
      <c r="AS1494" s="109">
        <v>4</v>
      </c>
      <c r="AT1494" s="109">
        <v>4</v>
      </c>
      <c r="AU1494" s="109" t="s">
        <v>169</v>
      </c>
      <c r="AZ1494" s="109" t="s">
        <v>1180</v>
      </c>
      <c r="BG1494" s="109">
        <v>1.41</v>
      </c>
      <c r="BH1494" s="109">
        <v>1.42</v>
      </c>
      <c r="BJ1494" s="109">
        <v>2.1800000000000002</v>
      </c>
      <c r="BK1494" s="109">
        <v>2.2400000000000002</v>
      </c>
      <c r="BL1494" s="109" t="s">
        <v>709</v>
      </c>
      <c r="BM1494" s="109">
        <v>2100</v>
      </c>
      <c r="BN1494" s="109">
        <v>2100</v>
      </c>
      <c r="BO1494" s="109" t="s">
        <v>272</v>
      </c>
      <c r="BP1494" s="109">
        <v>42</v>
      </c>
      <c r="BQ1494" s="109">
        <v>36</v>
      </c>
      <c r="BS1494" s="109">
        <v>134</v>
      </c>
      <c r="BT1494" s="109">
        <v>75</v>
      </c>
      <c r="BV1494" s="109">
        <v>6.4</v>
      </c>
      <c r="BW1494" s="109">
        <v>6.5</v>
      </c>
      <c r="CH1494" s="109">
        <v>809</v>
      </c>
      <c r="CI1494" s="109">
        <v>873</v>
      </c>
      <c r="CJ1494" s="109" t="s">
        <v>1200</v>
      </c>
      <c r="DI1494" s="109">
        <v>27</v>
      </c>
      <c r="DJ1494" s="109">
        <v>23</v>
      </c>
      <c r="DK1494" s="109" t="s">
        <v>196</v>
      </c>
      <c r="EM1494" s="109">
        <v>1600</v>
      </c>
      <c r="EN1494" s="109">
        <v>1380</v>
      </c>
      <c r="EO1494" s="109" t="s">
        <v>512</v>
      </c>
      <c r="EP1494" s="109">
        <v>21.4</v>
      </c>
      <c r="EQ1494" s="109">
        <v>24.4</v>
      </c>
      <c r="FH1494" s="109">
        <f t="shared" si="250"/>
        <v>2.0279999999999999E-3</v>
      </c>
      <c r="FI1494" s="109">
        <f>193*0.000012</f>
        <v>2.3159999999999999E-3</v>
      </c>
      <c r="FJ1494" s="109" t="s">
        <v>1199</v>
      </c>
      <c r="FO1494" s="31">
        <v>99999</v>
      </c>
      <c r="FP1494" s="31">
        <v>99999</v>
      </c>
      <c r="FQ1494" s="31"/>
      <c r="FR1494" s="31" t="s">
        <v>515</v>
      </c>
      <c r="FT1494" s="109">
        <v>68</v>
      </c>
    </row>
    <row r="1495" spans="1:176" s="111" customFormat="1" x14ac:dyDescent="0.25">
      <c r="A1495" s="111">
        <v>68</v>
      </c>
      <c r="B1495" s="111" t="s">
        <v>1171</v>
      </c>
      <c r="C1495" s="111" t="s">
        <v>1172</v>
      </c>
      <c r="D1495" s="111">
        <v>2011</v>
      </c>
      <c r="E1495" s="111">
        <v>1995</v>
      </c>
      <c r="F1495" s="111" t="s">
        <v>342</v>
      </c>
      <c r="G1495" s="111" t="s">
        <v>1174</v>
      </c>
      <c r="H1495" s="111">
        <f t="shared" si="246"/>
        <v>43.3</v>
      </c>
      <c r="I1495" s="111">
        <f t="shared" si="247"/>
        <v>-89.35</v>
      </c>
      <c r="J1495" s="111">
        <v>317.10000000000002</v>
      </c>
      <c r="P1495" s="112" t="s">
        <v>1910</v>
      </c>
      <c r="Q1495" s="112" t="s">
        <v>994</v>
      </c>
      <c r="R1495" s="112" t="s">
        <v>1173</v>
      </c>
      <c r="S1495" s="112" t="s">
        <v>1590</v>
      </c>
      <c r="T1495" s="57" t="s">
        <v>1570</v>
      </c>
      <c r="U1495" s="57" t="s">
        <v>1555</v>
      </c>
      <c r="V1495" s="57" t="s">
        <v>1905</v>
      </c>
      <c r="Z1495" s="111" t="s">
        <v>531</v>
      </c>
      <c r="AD1495" s="38" t="s">
        <v>1505</v>
      </c>
      <c r="AE1495" s="111" t="s">
        <v>1707</v>
      </c>
      <c r="AF1495" s="152" t="s">
        <v>1761</v>
      </c>
      <c r="AG1495" s="111" t="s">
        <v>1769</v>
      </c>
      <c r="AH1495" s="159" t="s">
        <v>1791</v>
      </c>
      <c r="AI1495" s="111" t="s">
        <v>779</v>
      </c>
      <c r="AJ1495" s="111" t="s">
        <v>1081</v>
      </c>
      <c r="AK1495" s="111" t="s">
        <v>212</v>
      </c>
      <c r="AL1495" s="111" t="s">
        <v>1198</v>
      </c>
      <c r="AM1495" s="111" t="s">
        <v>1181</v>
      </c>
      <c r="AN1495" s="111" t="s">
        <v>587</v>
      </c>
      <c r="AO1495" s="111" t="s">
        <v>1197</v>
      </c>
      <c r="AP1495" s="111" t="s">
        <v>1183</v>
      </c>
      <c r="AQ1495" s="111" t="s">
        <v>587</v>
      </c>
      <c r="AR1495" s="111" t="s">
        <v>192</v>
      </c>
      <c r="AS1495" s="111">
        <v>4</v>
      </c>
      <c r="AT1495" s="111">
        <v>4</v>
      </c>
      <c r="AU1495" s="111" t="s">
        <v>169</v>
      </c>
      <c r="AZ1495" s="111" t="s">
        <v>1191</v>
      </c>
      <c r="BG1495" s="111">
        <v>1.38</v>
      </c>
      <c r="BH1495" s="111">
        <v>1.47</v>
      </c>
      <c r="BJ1495" s="111">
        <v>1.95</v>
      </c>
      <c r="BK1495" s="111">
        <v>2.08</v>
      </c>
      <c r="BL1495" s="111" t="s">
        <v>709</v>
      </c>
      <c r="BM1495" s="111">
        <v>1900</v>
      </c>
      <c r="BN1495" s="111">
        <v>2100</v>
      </c>
      <c r="BO1495" s="111" t="s">
        <v>272</v>
      </c>
      <c r="BP1495" s="111">
        <v>33</v>
      </c>
      <c r="BQ1495" s="111">
        <v>31.8</v>
      </c>
      <c r="BS1495" s="111">
        <v>97</v>
      </c>
      <c r="BT1495" s="111">
        <v>89</v>
      </c>
      <c r="BV1495" s="111">
        <v>6.5</v>
      </c>
      <c r="BW1495" s="111">
        <v>6.6</v>
      </c>
      <c r="CH1495" s="111">
        <v>887</v>
      </c>
      <c r="CI1495" s="111">
        <v>861</v>
      </c>
      <c r="CJ1495" s="111" t="s">
        <v>1200</v>
      </c>
      <c r="DI1495" s="111">
        <v>26</v>
      </c>
      <c r="DJ1495" s="111">
        <v>26</v>
      </c>
      <c r="DK1495" s="111" t="s">
        <v>196</v>
      </c>
      <c r="EM1495" s="111">
        <v>1380</v>
      </c>
      <c r="EN1495" s="111">
        <v>1670</v>
      </c>
      <c r="EO1495" s="111" t="s">
        <v>512</v>
      </c>
      <c r="EP1495" s="111">
        <v>17.100000000000001</v>
      </c>
      <c r="EQ1495" s="111">
        <v>22.3</v>
      </c>
      <c r="FH1495" s="111">
        <f>109*0.000012</f>
        <v>1.3080000000000001E-3</v>
      </c>
      <c r="FI1495" s="111">
        <v>1.8E-3</v>
      </c>
      <c r="FJ1495" s="111" t="s">
        <v>1190</v>
      </c>
      <c r="FO1495" s="31">
        <v>99999</v>
      </c>
      <c r="FP1495" s="31">
        <v>99999</v>
      </c>
      <c r="FQ1495" s="31"/>
      <c r="FR1495" s="38" t="s">
        <v>515</v>
      </c>
      <c r="FT1495" s="111">
        <v>68</v>
      </c>
    </row>
    <row r="1496" spans="1:176" s="111" customFormat="1" x14ac:dyDescent="0.25">
      <c r="A1496" s="111">
        <v>68</v>
      </c>
      <c r="B1496" s="111" t="s">
        <v>1171</v>
      </c>
      <c r="C1496" s="111" t="s">
        <v>1172</v>
      </c>
      <c r="D1496" s="111">
        <v>2011</v>
      </c>
      <c r="E1496" s="111">
        <v>1995</v>
      </c>
      <c r="F1496" s="111" t="s">
        <v>342</v>
      </c>
      <c r="G1496" s="111" t="s">
        <v>1174</v>
      </c>
      <c r="H1496" s="111">
        <f t="shared" si="246"/>
        <v>43.3</v>
      </c>
      <c r="I1496" s="111">
        <f t="shared" si="247"/>
        <v>-89.35</v>
      </c>
      <c r="J1496" s="111">
        <v>317.10000000000002</v>
      </c>
      <c r="P1496" s="112" t="s">
        <v>1910</v>
      </c>
      <c r="Q1496" s="112" t="s">
        <v>994</v>
      </c>
      <c r="R1496" s="112" t="s">
        <v>1173</v>
      </c>
      <c r="S1496" s="112" t="s">
        <v>1590</v>
      </c>
      <c r="T1496" s="57" t="s">
        <v>1570</v>
      </c>
      <c r="U1496" s="57" t="s">
        <v>1555</v>
      </c>
      <c r="V1496" s="57" t="s">
        <v>1905</v>
      </c>
      <c r="Z1496" s="111" t="s">
        <v>531</v>
      </c>
      <c r="AD1496" s="38" t="s">
        <v>1505</v>
      </c>
      <c r="AE1496" s="111" t="s">
        <v>142</v>
      </c>
      <c r="AF1496" s="152" t="s">
        <v>666</v>
      </c>
      <c r="AG1496" s="111" t="s">
        <v>1769</v>
      </c>
      <c r="AH1496" s="159" t="s">
        <v>1791</v>
      </c>
      <c r="AI1496" s="111" t="s">
        <v>779</v>
      </c>
      <c r="AJ1496" s="111" t="s">
        <v>160</v>
      </c>
      <c r="AK1496" s="111" t="s">
        <v>587</v>
      </c>
      <c r="AL1496" s="111" t="s">
        <v>1198</v>
      </c>
      <c r="AM1496" s="111" t="s">
        <v>1181</v>
      </c>
      <c r="AN1496" s="111" t="s">
        <v>587</v>
      </c>
      <c r="AO1496" s="111" t="s">
        <v>1197</v>
      </c>
      <c r="AP1496" s="111" t="s">
        <v>1184</v>
      </c>
      <c r="AQ1496" s="111" t="s">
        <v>587</v>
      </c>
      <c r="AR1496" s="111" t="s">
        <v>192</v>
      </c>
      <c r="AS1496" s="111">
        <v>4</v>
      </c>
      <c r="AT1496" s="111">
        <v>4</v>
      </c>
      <c r="AU1496" s="111" t="s">
        <v>169</v>
      </c>
      <c r="AZ1496" s="111" t="s">
        <v>1192</v>
      </c>
      <c r="BG1496" s="111">
        <v>1.38</v>
      </c>
      <c r="BH1496" s="111">
        <v>1.48</v>
      </c>
      <c r="BJ1496" s="111">
        <v>1.95</v>
      </c>
      <c r="BK1496" s="111">
        <v>2.11</v>
      </c>
      <c r="BL1496" s="111" t="s">
        <v>709</v>
      </c>
      <c r="BM1496" s="111">
        <v>1900</v>
      </c>
      <c r="BN1496" s="111">
        <v>2100</v>
      </c>
      <c r="BO1496" s="111" t="s">
        <v>272</v>
      </c>
      <c r="BP1496" s="111">
        <v>33</v>
      </c>
      <c r="BQ1496" s="111">
        <v>40.799999999999997</v>
      </c>
      <c r="BS1496" s="111">
        <v>97</v>
      </c>
      <c r="BT1496" s="111">
        <v>72</v>
      </c>
      <c r="BV1496" s="111">
        <v>6.5</v>
      </c>
      <c r="BW1496" s="111">
        <v>6.8</v>
      </c>
      <c r="CH1496" s="111">
        <v>887</v>
      </c>
      <c r="CI1496" s="111">
        <v>857</v>
      </c>
      <c r="CJ1496" s="111" t="s">
        <v>1200</v>
      </c>
      <c r="DI1496" s="111">
        <v>26</v>
      </c>
      <c r="DJ1496" s="111">
        <v>26</v>
      </c>
      <c r="DK1496" s="111" t="s">
        <v>196</v>
      </c>
      <c r="EM1496" s="111">
        <v>1380</v>
      </c>
      <c r="EN1496" s="111">
        <v>1610</v>
      </c>
      <c r="EO1496" s="111" t="s">
        <v>512</v>
      </c>
      <c r="EP1496" s="111">
        <v>17.100000000000001</v>
      </c>
      <c r="EQ1496" s="111">
        <v>23.3</v>
      </c>
      <c r="FH1496" s="111">
        <f t="shared" ref="FH1496:FH1499" si="251">109*0.000012</f>
        <v>1.3080000000000001E-3</v>
      </c>
      <c r="FI1496" s="111">
        <v>1.7279999999999999E-3</v>
      </c>
      <c r="FJ1496" s="111" t="s">
        <v>1190</v>
      </c>
      <c r="FO1496" s="31">
        <v>99999</v>
      </c>
      <c r="FP1496" s="31">
        <v>99999</v>
      </c>
      <c r="FQ1496" s="31"/>
      <c r="FR1496" s="38" t="s">
        <v>515</v>
      </c>
      <c r="FT1496" s="111">
        <v>68</v>
      </c>
    </row>
    <row r="1497" spans="1:176" s="111" customFormat="1" x14ac:dyDescent="0.25">
      <c r="A1497" s="111">
        <v>68</v>
      </c>
      <c r="B1497" s="111" t="s">
        <v>1171</v>
      </c>
      <c r="C1497" s="111" t="s">
        <v>1172</v>
      </c>
      <c r="D1497" s="111">
        <v>2011</v>
      </c>
      <c r="E1497" s="111">
        <v>1995</v>
      </c>
      <c r="F1497" s="111" t="s">
        <v>342</v>
      </c>
      <c r="G1497" s="111" t="s">
        <v>1174</v>
      </c>
      <c r="H1497" s="111">
        <f t="shared" si="246"/>
        <v>43.3</v>
      </c>
      <c r="I1497" s="111">
        <f t="shared" si="247"/>
        <v>-89.35</v>
      </c>
      <c r="J1497" s="111">
        <v>317.10000000000002</v>
      </c>
      <c r="P1497" s="112" t="s">
        <v>1910</v>
      </c>
      <c r="Q1497" s="112" t="s">
        <v>994</v>
      </c>
      <c r="R1497" s="112" t="s">
        <v>1173</v>
      </c>
      <c r="S1497" s="112" t="s">
        <v>1590</v>
      </c>
      <c r="T1497" s="57" t="s">
        <v>1570</v>
      </c>
      <c r="U1497" s="57" t="s">
        <v>1555</v>
      </c>
      <c r="V1497" s="57" t="s">
        <v>1905</v>
      </c>
      <c r="Z1497" s="111" t="s">
        <v>531</v>
      </c>
      <c r="AD1497" s="38" t="s">
        <v>1505</v>
      </c>
      <c r="AE1497" s="111" t="s">
        <v>142</v>
      </c>
      <c r="AF1497" s="152" t="s">
        <v>666</v>
      </c>
      <c r="AG1497" s="111" t="s">
        <v>1769</v>
      </c>
      <c r="AH1497" s="159" t="s">
        <v>1791</v>
      </c>
      <c r="AI1497" s="111" t="s">
        <v>779</v>
      </c>
      <c r="AJ1497" s="111" t="s">
        <v>160</v>
      </c>
      <c r="AK1497" s="111" t="s">
        <v>587</v>
      </c>
      <c r="AL1497" s="111" t="s">
        <v>1198</v>
      </c>
      <c r="AM1497" s="111" t="s">
        <v>1181</v>
      </c>
      <c r="AN1497" s="111" t="s">
        <v>587</v>
      </c>
      <c r="AO1497" s="111" t="s">
        <v>1197</v>
      </c>
      <c r="AP1497" s="111" t="s">
        <v>1185</v>
      </c>
      <c r="AQ1497" s="111" t="s">
        <v>587</v>
      </c>
      <c r="AR1497" s="111" t="s">
        <v>192</v>
      </c>
      <c r="AS1497" s="111">
        <v>4</v>
      </c>
      <c r="AT1497" s="111">
        <v>4</v>
      </c>
      <c r="AU1497" s="111" t="s">
        <v>169</v>
      </c>
      <c r="AZ1497" s="111" t="s">
        <v>1193</v>
      </c>
      <c r="BG1497" s="111">
        <v>1.38</v>
      </c>
      <c r="BH1497" s="111">
        <v>1.37</v>
      </c>
      <c r="BJ1497" s="111">
        <v>1.95</v>
      </c>
      <c r="BK1497" s="111">
        <v>2.2000000000000002</v>
      </c>
      <c r="BL1497" s="111" t="s">
        <v>709</v>
      </c>
      <c r="BM1497" s="111">
        <v>1900</v>
      </c>
      <c r="BN1497" s="111">
        <v>2200</v>
      </c>
      <c r="BO1497" s="111" t="s">
        <v>272</v>
      </c>
      <c r="BP1497" s="111">
        <v>33</v>
      </c>
      <c r="BQ1497" s="111">
        <v>50</v>
      </c>
      <c r="BS1497" s="111">
        <v>97</v>
      </c>
      <c r="BT1497" s="111">
        <v>83</v>
      </c>
      <c r="BV1497" s="111">
        <v>6.5</v>
      </c>
      <c r="BW1497" s="111">
        <v>6.6</v>
      </c>
      <c r="CH1497" s="111">
        <v>887</v>
      </c>
      <c r="CI1497" s="111">
        <v>842</v>
      </c>
      <c r="CJ1497" s="111" t="s">
        <v>1200</v>
      </c>
      <c r="DI1497" s="111">
        <v>26</v>
      </c>
      <c r="DJ1497" s="111">
        <v>25</v>
      </c>
      <c r="DK1497" s="111" t="s">
        <v>196</v>
      </c>
      <c r="EM1497" s="111">
        <v>1380</v>
      </c>
      <c r="EN1497" s="111">
        <v>1540</v>
      </c>
      <c r="EO1497" s="111" t="s">
        <v>512</v>
      </c>
      <c r="EP1497" s="111">
        <v>17.100000000000001</v>
      </c>
      <c r="EQ1497" s="111">
        <v>25.9</v>
      </c>
      <c r="FH1497" s="111">
        <f t="shared" si="251"/>
        <v>1.3080000000000001E-3</v>
      </c>
      <c r="FI1497" s="111">
        <v>1.3680000000000001E-3</v>
      </c>
      <c r="FJ1497" s="111" t="s">
        <v>1199</v>
      </c>
      <c r="FO1497" s="31">
        <v>99999</v>
      </c>
      <c r="FP1497" s="31">
        <v>99999</v>
      </c>
      <c r="FQ1497" s="31"/>
      <c r="FR1497" s="38" t="s">
        <v>515</v>
      </c>
      <c r="FT1497" s="111">
        <v>68</v>
      </c>
    </row>
    <row r="1498" spans="1:176" s="111" customFormat="1" x14ac:dyDescent="0.25">
      <c r="A1498" s="111">
        <v>68</v>
      </c>
      <c r="B1498" s="111" t="s">
        <v>1171</v>
      </c>
      <c r="C1498" s="111" t="s">
        <v>1172</v>
      </c>
      <c r="D1498" s="111">
        <v>2011</v>
      </c>
      <c r="E1498" s="111">
        <v>1995</v>
      </c>
      <c r="F1498" s="111" t="s">
        <v>342</v>
      </c>
      <c r="G1498" s="111" t="s">
        <v>1174</v>
      </c>
      <c r="H1498" s="111">
        <f t="shared" si="246"/>
        <v>43.3</v>
      </c>
      <c r="I1498" s="111">
        <f t="shared" si="247"/>
        <v>-89.35</v>
      </c>
      <c r="J1498" s="111">
        <v>317.10000000000002</v>
      </c>
      <c r="P1498" s="112" t="s">
        <v>1910</v>
      </c>
      <c r="Q1498" s="112" t="s">
        <v>994</v>
      </c>
      <c r="R1498" s="112" t="s">
        <v>1173</v>
      </c>
      <c r="S1498" s="112" t="s">
        <v>1590</v>
      </c>
      <c r="T1498" s="57" t="s">
        <v>1570</v>
      </c>
      <c r="U1498" s="57" t="s">
        <v>1555</v>
      </c>
      <c r="V1498" s="57" t="s">
        <v>1905</v>
      </c>
      <c r="Z1498" s="111" t="s">
        <v>531</v>
      </c>
      <c r="AD1498" s="38" t="s">
        <v>1505</v>
      </c>
      <c r="AE1498" s="111" t="s">
        <v>142</v>
      </c>
      <c r="AF1498" s="152" t="s">
        <v>666</v>
      </c>
      <c r="AG1498" s="111" t="s">
        <v>1769</v>
      </c>
      <c r="AH1498" s="159" t="s">
        <v>1791</v>
      </c>
      <c r="AI1498" s="111" t="s">
        <v>779</v>
      </c>
      <c r="AJ1498" s="111" t="s">
        <v>160</v>
      </c>
      <c r="AK1498" s="111" t="s">
        <v>587</v>
      </c>
      <c r="AL1498" s="111" t="s">
        <v>1198</v>
      </c>
      <c r="AM1498" s="111" t="s">
        <v>1181</v>
      </c>
      <c r="AN1498" s="111" t="s">
        <v>587</v>
      </c>
      <c r="AO1498" s="111" t="s">
        <v>1197</v>
      </c>
      <c r="AP1498" s="111" t="s">
        <v>1186</v>
      </c>
      <c r="AQ1498" s="111" t="s">
        <v>587</v>
      </c>
      <c r="AR1498" s="111" t="s">
        <v>192</v>
      </c>
      <c r="AS1498" s="111">
        <v>4</v>
      </c>
      <c r="AT1498" s="111">
        <v>4</v>
      </c>
      <c r="AU1498" s="111" t="s">
        <v>169</v>
      </c>
      <c r="AZ1498" s="111" t="s">
        <v>1194</v>
      </c>
      <c r="BG1498" s="111">
        <v>1.38</v>
      </c>
      <c r="BH1498" s="111">
        <v>1.37</v>
      </c>
      <c r="BJ1498" s="111">
        <v>1.95</v>
      </c>
      <c r="BK1498" s="111">
        <v>2.2999999999999998</v>
      </c>
      <c r="BL1498" s="111" t="s">
        <v>709</v>
      </c>
      <c r="BM1498" s="111">
        <v>1900</v>
      </c>
      <c r="BN1498" s="111">
        <v>2300</v>
      </c>
      <c r="BO1498" s="111" t="s">
        <v>272</v>
      </c>
      <c r="BP1498" s="111">
        <v>33</v>
      </c>
      <c r="BQ1498" s="111">
        <v>46.8</v>
      </c>
      <c r="BS1498" s="111">
        <v>97</v>
      </c>
      <c r="BT1498" s="111">
        <v>79</v>
      </c>
      <c r="BV1498" s="111">
        <v>6.5</v>
      </c>
      <c r="BW1498" s="111">
        <v>6.8</v>
      </c>
      <c r="CH1498" s="111">
        <v>887</v>
      </c>
      <c r="CI1498" s="111">
        <v>851</v>
      </c>
      <c r="CJ1498" s="111" t="s">
        <v>1200</v>
      </c>
      <c r="DI1498" s="111">
        <v>26</v>
      </c>
      <c r="DJ1498" s="111">
        <v>26</v>
      </c>
      <c r="DK1498" s="111" t="s">
        <v>196</v>
      </c>
      <c r="EM1498" s="111">
        <v>1380</v>
      </c>
      <c r="EN1498" s="111">
        <v>1840</v>
      </c>
      <c r="EO1498" s="111" t="s">
        <v>512</v>
      </c>
      <c r="EP1498" s="111">
        <v>17.100000000000001</v>
      </c>
      <c r="EQ1498" s="111">
        <v>29.8</v>
      </c>
      <c r="FH1498" s="111">
        <f t="shared" si="251"/>
        <v>1.3080000000000001E-3</v>
      </c>
      <c r="FI1498" s="111">
        <v>1.6080000000000001E-3</v>
      </c>
      <c r="FJ1498" s="111" t="s">
        <v>1199</v>
      </c>
      <c r="FO1498" s="31">
        <v>99999</v>
      </c>
      <c r="FP1498" s="31">
        <v>99999</v>
      </c>
      <c r="FQ1498" s="31"/>
      <c r="FR1498" s="38" t="s">
        <v>515</v>
      </c>
      <c r="FT1498" s="111">
        <v>68</v>
      </c>
    </row>
    <row r="1499" spans="1:176" s="111" customFormat="1" x14ac:dyDescent="0.25">
      <c r="A1499" s="111">
        <v>68</v>
      </c>
      <c r="B1499" s="111" t="s">
        <v>1171</v>
      </c>
      <c r="C1499" s="111" t="s">
        <v>1172</v>
      </c>
      <c r="D1499" s="111">
        <v>2011</v>
      </c>
      <c r="E1499" s="111">
        <v>1995</v>
      </c>
      <c r="F1499" s="111" t="s">
        <v>342</v>
      </c>
      <c r="G1499" s="111" t="s">
        <v>1174</v>
      </c>
      <c r="H1499" s="111">
        <f t="shared" si="246"/>
        <v>43.3</v>
      </c>
      <c r="I1499" s="111">
        <f t="shared" si="247"/>
        <v>-89.35</v>
      </c>
      <c r="J1499" s="111">
        <v>317.10000000000002</v>
      </c>
      <c r="P1499" s="112" t="s">
        <v>1910</v>
      </c>
      <c r="Q1499" s="112" t="s">
        <v>994</v>
      </c>
      <c r="R1499" s="112" t="s">
        <v>1173</v>
      </c>
      <c r="S1499" s="112" t="s">
        <v>1590</v>
      </c>
      <c r="T1499" s="57" t="s">
        <v>1570</v>
      </c>
      <c r="U1499" s="57" t="s">
        <v>1555</v>
      </c>
      <c r="V1499" s="57" t="s">
        <v>1905</v>
      </c>
      <c r="Z1499" s="111" t="s">
        <v>531</v>
      </c>
      <c r="AD1499" s="38" t="s">
        <v>1505</v>
      </c>
      <c r="AE1499" s="111" t="s">
        <v>142</v>
      </c>
      <c r="AF1499" s="152" t="s">
        <v>666</v>
      </c>
      <c r="AG1499" s="111" t="s">
        <v>1769</v>
      </c>
      <c r="AH1499" s="159" t="s">
        <v>1791</v>
      </c>
      <c r="AI1499" s="111" t="s">
        <v>779</v>
      </c>
      <c r="AJ1499" s="111" t="s">
        <v>160</v>
      </c>
      <c r="AK1499" s="111" t="s">
        <v>587</v>
      </c>
      <c r="AL1499" s="111" t="s">
        <v>1198</v>
      </c>
      <c r="AM1499" s="111" t="s">
        <v>1181</v>
      </c>
      <c r="AN1499" s="111" t="s">
        <v>587</v>
      </c>
      <c r="AO1499" s="111" t="s">
        <v>1197</v>
      </c>
      <c r="AP1499" s="111" t="s">
        <v>1187</v>
      </c>
      <c r="AQ1499" s="111" t="s">
        <v>587</v>
      </c>
      <c r="AR1499" s="111" t="s">
        <v>192</v>
      </c>
      <c r="AS1499" s="111">
        <v>4</v>
      </c>
      <c r="AT1499" s="111">
        <v>4</v>
      </c>
      <c r="AU1499" s="111" t="s">
        <v>169</v>
      </c>
      <c r="AZ1499" s="111" t="s">
        <v>1195</v>
      </c>
      <c r="BG1499" s="111">
        <v>1.38</v>
      </c>
      <c r="BH1499" s="111">
        <v>1.41</v>
      </c>
      <c r="BJ1499" s="111">
        <v>1.95</v>
      </c>
      <c r="BK1499" s="111">
        <v>2.4</v>
      </c>
      <c r="BL1499" s="111" t="s">
        <v>709</v>
      </c>
      <c r="BM1499" s="111">
        <v>1900</v>
      </c>
      <c r="BN1499" s="111">
        <v>2300</v>
      </c>
      <c r="BO1499" s="111" t="s">
        <v>272</v>
      </c>
      <c r="BP1499" s="111">
        <v>33</v>
      </c>
      <c r="BQ1499" s="111">
        <v>50.5</v>
      </c>
      <c r="BS1499" s="111">
        <v>97</v>
      </c>
      <c r="BT1499" s="111">
        <v>75</v>
      </c>
      <c r="BV1499" s="111">
        <v>6.5</v>
      </c>
      <c r="BW1499" s="111">
        <v>6.7</v>
      </c>
      <c r="CH1499" s="111">
        <v>887</v>
      </c>
      <c r="CI1499" s="111">
        <v>882</v>
      </c>
      <c r="CJ1499" s="111" t="s">
        <v>1200</v>
      </c>
      <c r="DI1499" s="111">
        <v>26</v>
      </c>
      <c r="DJ1499" s="111">
        <v>26</v>
      </c>
      <c r="DK1499" s="111" t="s">
        <v>196</v>
      </c>
      <c r="EM1499" s="111">
        <v>1380</v>
      </c>
      <c r="EN1499" s="111">
        <v>1820</v>
      </c>
      <c r="EO1499" s="111" t="s">
        <v>512</v>
      </c>
      <c r="EP1499" s="111">
        <v>17.100000000000001</v>
      </c>
      <c r="EQ1499" s="111">
        <v>30.9</v>
      </c>
      <c r="FH1499" s="111">
        <f t="shared" si="251"/>
        <v>1.3080000000000001E-3</v>
      </c>
      <c r="FI1499" s="111">
        <v>1.14E-3</v>
      </c>
      <c r="FJ1499" s="111" t="s">
        <v>1199</v>
      </c>
      <c r="FO1499" s="31">
        <v>99999</v>
      </c>
      <c r="FP1499" s="31">
        <v>99999</v>
      </c>
      <c r="FQ1499" s="31"/>
      <c r="FR1499" s="38" t="s">
        <v>515</v>
      </c>
      <c r="FT1499" s="111">
        <v>68</v>
      </c>
    </row>
    <row r="1500" spans="1:176" s="111" customFormat="1" x14ac:dyDescent="0.25">
      <c r="A1500" s="111">
        <v>68</v>
      </c>
      <c r="B1500" s="111" t="s">
        <v>1171</v>
      </c>
      <c r="C1500" s="111" t="s">
        <v>1172</v>
      </c>
      <c r="D1500" s="111">
        <v>2011</v>
      </c>
      <c r="E1500" s="111">
        <v>1995</v>
      </c>
      <c r="F1500" s="111" t="s">
        <v>342</v>
      </c>
      <c r="G1500" s="111" t="s">
        <v>1174</v>
      </c>
      <c r="H1500" s="111">
        <f t="shared" si="246"/>
        <v>43.3</v>
      </c>
      <c r="I1500" s="111">
        <f t="shared" si="247"/>
        <v>-89.35</v>
      </c>
      <c r="J1500" s="111">
        <v>317.10000000000002</v>
      </c>
      <c r="P1500" s="112" t="s">
        <v>1910</v>
      </c>
      <c r="Q1500" s="112" t="s">
        <v>994</v>
      </c>
      <c r="R1500" s="112" t="s">
        <v>1173</v>
      </c>
      <c r="S1500" s="112" t="s">
        <v>1590</v>
      </c>
      <c r="T1500" s="57" t="s">
        <v>1570</v>
      </c>
      <c r="U1500" s="57" t="s">
        <v>1555</v>
      </c>
      <c r="V1500" s="57" t="s">
        <v>1905</v>
      </c>
      <c r="Z1500" s="111" t="s">
        <v>531</v>
      </c>
      <c r="AD1500" s="38" t="s">
        <v>1505</v>
      </c>
      <c r="AE1500" s="111" t="s">
        <v>727</v>
      </c>
      <c r="AF1500" s="152" t="s">
        <v>727</v>
      </c>
      <c r="AG1500" s="111" t="s">
        <v>1769</v>
      </c>
      <c r="AH1500" s="159" t="s">
        <v>1791</v>
      </c>
      <c r="AI1500" s="111" t="s">
        <v>779</v>
      </c>
      <c r="AJ1500" s="111" t="s">
        <v>1787</v>
      </c>
      <c r="AK1500" s="111" t="s">
        <v>587</v>
      </c>
      <c r="AL1500" s="111" t="s">
        <v>1198</v>
      </c>
      <c r="AM1500" s="111" t="s">
        <v>1181</v>
      </c>
      <c r="AN1500" s="111" t="s">
        <v>587</v>
      </c>
      <c r="AO1500" s="111" t="s">
        <v>1197</v>
      </c>
      <c r="AP1500" s="111" t="s">
        <v>1188</v>
      </c>
      <c r="AQ1500" s="111" t="s">
        <v>587</v>
      </c>
      <c r="AR1500" s="111" t="s">
        <v>192</v>
      </c>
      <c r="AS1500" s="111">
        <v>4</v>
      </c>
      <c r="AT1500" s="111">
        <v>4</v>
      </c>
      <c r="AU1500" s="111" t="s">
        <v>169</v>
      </c>
      <c r="AZ1500" s="111" t="s">
        <v>1196</v>
      </c>
      <c r="BG1500" s="111">
        <v>1.38</v>
      </c>
      <c r="BH1500" s="111">
        <v>1.42</v>
      </c>
      <c r="BJ1500" s="111">
        <v>1.95</v>
      </c>
      <c r="BK1500" s="111">
        <v>2.2400000000000002</v>
      </c>
      <c r="BL1500" s="111" t="s">
        <v>709</v>
      </c>
      <c r="BM1500" s="111">
        <v>1900</v>
      </c>
      <c r="BN1500" s="111">
        <v>2100</v>
      </c>
      <c r="BO1500" s="111" t="s">
        <v>272</v>
      </c>
      <c r="BP1500" s="111">
        <v>33</v>
      </c>
      <c r="BQ1500" s="111">
        <v>36</v>
      </c>
      <c r="BS1500" s="111">
        <v>97</v>
      </c>
      <c r="BT1500" s="111">
        <v>75</v>
      </c>
      <c r="BV1500" s="111">
        <v>6.5</v>
      </c>
      <c r="BW1500" s="111">
        <v>6.5</v>
      </c>
      <c r="CH1500" s="111">
        <v>887</v>
      </c>
      <c r="CI1500" s="111">
        <v>873</v>
      </c>
      <c r="CJ1500" s="111" t="s">
        <v>1200</v>
      </c>
      <c r="DI1500" s="111">
        <v>26</v>
      </c>
      <c r="DJ1500" s="111">
        <v>23</v>
      </c>
      <c r="DK1500" s="111" t="s">
        <v>196</v>
      </c>
      <c r="EM1500" s="111">
        <v>1380</v>
      </c>
      <c r="EN1500" s="111">
        <v>1380</v>
      </c>
      <c r="EO1500" s="111" t="s">
        <v>512</v>
      </c>
      <c r="EP1500" s="111">
        <v>17.100000000000001</v>
      </c>
      <c r="EQ1500" s="111">
        <v>24.4</v>
      </c>
      <c r="FH1500" s="111">
        <f>109*0.000012</f>
        <v>1.3080000000000001E-3</v>
      </c>
      <c r="FI1500" s="111">
        <v>2.3159999999999999E-3</v>
      </c>
      <c r="FJ1500" s="111" t="s">
        <v>1199</v>
      </c>
      <c r="FO1500" s="31">
        <v>99999</v>
      </c>
      <c r="FP1500" s="31">
        <v>99999</v>
      </c>
      <c r="FQ1500" s="31"/>
      <c r="FR1500" s="38" t="s">
        <v>515</v>
      </c>
      <c r="FT1500" s="111">
        <v>68</v>
      </c>
    </row>
    <row r="1501" spans="1:176" s="23" customFormat="1" x14ac:dyDescent="0.25">
      <c r="A1501" s="23">
        <v>68</v>
      </c>
      <c r="B1501" s="23" t="s">
        <v>1171</v>
      </c>
      <c r="C1501" s="23" t="s">
        <v>1172</v>
      </c>
      <c r="D1501" s="23">
        <v>2011</v>
      </c>
      <c r="E1501" s="23">
        <v>1995</v>
      </c>
      <c r="F1501" s="23" t="s">
        <v>498</v>
      </c>
      <c r="G1501" s="23" t="s">
        <v>1641</v>
      </c>
      <c r="H1501" s="23">
        <v>43.3</v>
      </c>
      <c r="I1501" s="23">
        <v>-89.35</v>
      </c>
      <c r="J1501" s="23">
        <v>317.10000000000002</v>
      </c>
      <c r="P1501" s="53" t="s">
        <v>1910</v>
      </c>
      <c r="Q1501" s="53" t="s">
        <v>994</v>
      </c>
      <c r="R1501" s="53" t="s">
        <v>1173</v>
      </c>
      <c r="S1501" s="53" t="s">
        <v>1570</v>
      </c>
      <c r="T1501" s="53" t="s">
        <v>1570</v>
      </c>
      <c r="U1501" s="53" t="s">
        <v>1555</v>
      </c>
      <c r="V1501" s="53" t="s">
        <v>1910</v>
      </c>
      <c r="Z1501" s="23" t="s">
        <v>531</v>
      </c>
      <c r="AD1501" s="23" t="s">
        <v>1505</v>
      </c>
      <c r="AE1501" s="23" t="s">
        <v>142</v>
      </c>
      <c r="AF1501" s="152" t="s">
        <v>666</v>
      </c>
      <c r="AG1501" s="23" t="s">
        <v>1772</v>
      </c>
      <c r="AH1501" s="155" t="s">
        <v>1791</v>
      </c>
      <c r="AL1501" s="23" t="s">
        <v>572</v>
      </c>
      <c r="AM1501" s="23" t="s">
        <v>572</v>
      </c>
      <c r="AN1501" s="23" t="s">
        <v>212</v>
      </c>
      <c r="AR1501" s="23" t="s">
        <v>192</v>
      </c>
      <c r="AS1501" s="23">
        <v>4</v>
      </c>
      <c r="AT1501" s="23">
        <v>4</v>
      </c>
      <c r="AU1501" s="23" t="s">
        <v>169</v>
      </c>
      <c r="BG1501" s="23">
        <v>1.32</v>
      </c>
      <c r="BH1501" s="23">
        <v>1.37</v>
      </c>
      <c r="BJ1501" s="23">
        <v>2.5</v>
      </c>
      <c r="BK1501" s="23">
        <v>2.59</v>
      </c>
      <c r="BL1501" s="23" t="s">
        <v>709</v>
      </c>
      <c r="BM1501" s="23">
        <f>2.43*100</f>
        <v>243.00000000000003</v>
      </c>
      <c r="BN1501" s="23">
        <f>2.68*100</f>
        <v>268</v>
      </c>
      <c r="BO1501" s="23" t="s">
        <v>272</v>
      </c>
      <c r="BP1501" s="23">
        <v>61.5</v>
      </c>
      <c r="BQ1501" s="23">
        <v>72.8</v>
      </c>
      <c r="BS1501" s="23">
        <v>135</v>
      </c>
      <c r="BT1501" s="23">
        <v>231</v>
      </c>
      <c r="BV1501" s="23">
        <v>6.9</v>
      </c>
      <c r="BW1501" s="23">
        <v>6.6</v>
      </c>
      <c r="CH1501" s="23">
        <v>817</v>
      </c>
      <c r="CI1501" s="23">
        <v>801</v>
      </c>
      <c r="CJ1501" s="23" t="s">
        <v>1642</v>
      </c>
      <c r="CN1501" s="23">
        <v>0.71</v>
      </c>
      <c r="CO1501" s="23">
        <v>1.53</v>
      </c>
      <c r="DI1501" s="23">
        <v>28</v>
      </c>
      <c r="DJ1501" s="23">
        <v>23</v>
      </c>
      <c r="DK1501" s="23" t="s">
        <v>196</v>
      </c>
      <c r="EM1501" s="23">
        <v>1880</v>
      </c>
      <c r="EN1501" s="23">
        <v>1900</v>
      </c>
      <c r="EP1501" s="23">
        <v>37.4</v>
      </c>
      <c r="EQ1501" s="23">
        <v>36.799999999999997</v>
      </c>
      <c r="FH1501" s="23">
        <f>0.000012*250</f>
        <v>3.0000000000000001E-3</v>
      </c>
      <c r="FI1501" s="23">
        <f>0.000012*181</f>
        <v>2.1719999999999999E-3</v>
      </c>
      <c r="FJ1501" s="23" t="s">
        <v>1199</v>
      </c>
      <c r="FO1501" s="23">
        <v>99999</v>
      </c>
      <c r="FP1501" s="23">
        <v>99999</v>
      </c>
      <c r="FR1501" s="23" t="s">
        <v>515</v>
      </c>
      <c r="FT1501" s="23">
        <v>68</v>
      </c>
    </row>
    <row r="1502" spans="1:176" s="23" customFormat="1" x14ac:dyDescent="0.25">
      <c r="A1502" s="23">
        <v>68</v>
      </c>
      <c r="B1502" s="23" t="s">
        <v>1171</v>
      </c>
      <c r="C1502" s="23" t="s">
        <v>1172</v>
      </c>
      <c r="D1502" s="23">
        <v>2011</v>
      </c>
      <c r="E1502" s="23">
        <v>1995</v>
      </c>
      <c r="F1502" s="23" t="s">
        <v>498</v>
      </c>
      <c r="G1502" s="23" t="s">
        <v>1641</v>
      </c>
      <c r="H1502" s="23">
        <v>43.3</v>
      </c>
      <c r="I1502" s="23">
        <v>-89.35</v>
      </c>
      <c r="J1502" s="23">
        <v>317.10000000000002</v>
      </c>
      <c r="P1502" s="53" t="s">
        <v>1910</v>
      </c>
      <c r="Q1502" s="53" t="s">
        <v>994</v>
      </c>
      <c r="R1502" s="53" t="s">
        <v>1926</v>
      </c>
      <c r="S1502" s="53" t="s">
        <v>1570</v>
      </c>
      <c r="T1502" s="53" t="s">
        <v>1570</v>
      </c>
      <c r="U1502" s="53" t="s">
        <v>1555</v>
      </c>
      <c r="V1502" s="53" t="s">
        <v>1910</v>
      </c>
      <c r="Z1502" s="23" t="s">
        <v>531</v>
      </c>
      <c r="AD1502" s="23" t="s">
        <v>1505</v>
      </c>
      <c r="AE1502" s="23" t="s">
        <v>142</v>
      </c>
      <c r="AF1502" s="152" t="s">
        <v>666</v>
      </c>
      <c r="AG1502" s="23" t="s">
        <v>1773</v>
      </c>
      <c r="AH1502" s="155" t="s">
        <v>1791</v>
      </c>
      <c r="AL1502" s="23" t="s">
        <v>572</v>
      </c>
      <c r="AM1502" s="23" t="s">
        <v>572</v>
      </c>
      <c r="AN1502" s="23" t="s">
        <v>212</v>
      </c>
      <c r="AR1502" s="23" t="s">
        <v>192</v>
      </c>
      <c r="AS1502" s="23">
        <v>4</v>
      </c>
      <c r="AT1502" s="23">
        <v>4</v>
      </c>
      <c r="AU1502" s="23" t="s">
        <v>169</v>
      </c>
      <c r="BG1502" s="23">
        <v>1.1299999999999999</v>
      </c>
      <c r="BH1502" s="23">
        <v>1.32</v>
      </c>
      <c r="BJ1502" s="23">
        <v>2.39</v>
      </c>
      <c r="BK1502" s="23">
        <v>2.39</v>
      </c>
      <c r="BL1502" s="23" t="s">
        <v>709</v>
      </c>
      <c r="BM1502" s="23">
        <f>2.3*100</f>
        <v>229.99999999999997</v>
      </c>
      <c r="BN1502" s="23">
        <f>2.4*100</f>
        <v>240</v>
      </c>
      <c r="BO1502" s="23" t="s">
        <v>272</v>
      </c>
      <c r="BP1502" s="23">
        <v>58.6</v>
      </c>
      <c r="BQ1502" s="23">
        <v>56.3</v>
      </c>
      <c r="BS1502" s="23">
        <v>145</v>
      </c>
      <c r="BT1502" s="23">
        <v>173</v>
      </c>
      <c r="BV1502" s="23">
        <v>6.8</v>
      </c>
      <c r="BW1502" s="23">
        <v>6.7</v>
      </c>
      <c r="CH1502" s="23">
        <v>766</v>
      </c>
      <c r="CI1502" s="23">
        <v>829</v>
      </c>
      <c r="CJ1502" s="23" t="s">
        <v>1642</v>
      </c>
      <c r="CN1502" s="23">
        <v>0.49</v>
      </c>
      <c r="CO1502" s="23">
        <v>1.32</v>
      </c>
      <c r="DI1502" s="23">
        <v>28</v>
      </c>
      <c r="DJ1502" s="23">
        <v>26</v>
      </c>
      <c r="DK1502" s="23" t="s">
        <v>196</v>
      </c>
      <c r="EM1502" s="23">
        <v>1810</v>
      </c>
      <c r="EN1502" s="23">
        <v>1890</v>
      </c>
      <c r="EP1502" s="23">
        <v>31.2</v>
      </c>
      <c r="EQ1502" s="23">
        <v>37.9</v>
      </c>
      <c r="FH1502" s="23">
        <f>0.000012*170</f>
        <v>2.0400000000000001E-3</v>
      </c>
      <c r="FI1502" s="23">
        <f>0.000012*204</f>
        <v>2.4480000000000001E-3</v>
      </c>
      <c r="FJ1502" s="23" t="s">
        <v>1929</v>
      </c>
      <c r="FO1502" s="23">
        <v>99999</v>
      </c>
      <c r="FP1502" s="23">
        <v>99999</v>
      </c>
      <c r="FR1502" s="23" t="s">
        <v>515</v>
      </c>
      <c r="FT1502" s="23">
        <v>68</v>
      </c>
    </row>
    <row r="1503" spans="1:176" s="23" customFormat="1" x14ac:dyDescent="0.25">
      <c r="A1503" s="23">
        <v>68</v>
      </c>
      <c r="B1503" s="23" t="s">
        <v>1171</v>
      </c>
      <c r="C1503" s="23" t="s">
        <v>1172</v>
      </c>
      <c r="D1503" s="23">
        <v>2011</v>
      </c>
      <c r="E1503" s="23">
        <v>1995</v>
      </c>
      <c r="F1503" s="23" t="s">
        <v>498</v>
      </c>
      <c r="G1503" s="23" t="s">
        <v>1641</v>
      </c>
      <c r="H1503" s="23">
        <v>43.3</v>
      </c>
      <c r="I1503" s="23">
        <v>-89.35</v>
      </c>
      <c r="J1503" s="23">
        <v>317.10000000000002</v>
      </c>
      <c r="P1503" s="53" t="s">
        <v>1910</v>
      </c>
      <c r="Q1503" s="53" t="s">
        <v>994</v>
      </c>
      <c r="R1503" s="53" t="s">
        <v>1927</v>
      </c>
      <c r="S1503" s="53" t="s">
        <v>1590</v>
      </c>
      <c r="T1503" s="53" t="s">
        <v>1570</v>
      </c>
      <c r="U1503" s="53" t="s">
        <v>1555</v>
      </c>
      <c r="V1503" s="53" t="s">
        <v>1905</v>
      </c>
      <c r="Z1503" s="23" t="s">
        <v>531</v>
      </c>
      <c r="AD1503" s="23" t="s">
        <v>1505</v>
      </c>
      <c r="AE1503" s="23" t="s">
        <v>142</v>
      </c>
      <c r="AF1503" s="152" t="s">
        <v>666</v>
      </c>
      <c r="AG1503" s="23" t="s">
        <v>1772</v>
      </c>
      <c r="AH1503" s="155" t="s">
        <v>1791</v>
      </c>
      <c r="AL1503" s="23" t="s">
        <v>572</v>
      </c>
      <c r="AM1503" s="23" t="s">
        <v>572</v>
      </c>
      <c r="AN1503" s="23" t="s">
        <v>212</v>
      </c>
      <c r="AR1503" s="23" t="s">
        <v>192</v>
      </c>
      <c r="AS1503" s="23">
        <v>4</v>
      </c>
      <c r="AT1503" s="23">
        <v>4</v>
      </c>
      <c r="AU1503" s="23" t="s">
        <v>169</v>
      </c>
      <c r="BG1503" s="23">
        <v>1.48</v>
      </c>
      <c r="BH1503" s="23">
        <v>1.37</v>
      </c>
      <c r="BJ1503" s="23">
        <v>2.11</v>
      </c>
      <c r="BK1503" s="23">
        <v>2.2000000000000002</v>
      </c>
      <c r="BL1503" s="23" t="s">
        <v>709</v>
      </c>
      <c r="BM1503" s="23">
        <v>210</v>
      </c>
      <c r="BN1503" s="23">
        <v>220</v>
      </c>
      <c r="BO1503" s="23" t="s">
        <v>272</v>
      </c>
      <c r="BP1503" s="23">
        <v>40.799999999999997</v>
      </c>
      <c r="BQ1503" s="23">
        <v>50</v>
      </c>
      <c r="BS1503" s="23">
        <v>72</v>
      </c>
      <c r="BT1503" s="23">
        <v>83</v>
      </c>
      <c r="BV1503" s="23">
        <v>6.8</v>
      </c>
      <c r="BW1503" s="23">
        <v>6.6</v>
      </c>
      <c r="CH1503" s="23">
        <v>857</v>
      </c>
      <c r="CI1503" s="23">
        <v>842</v>
      </c>
      <c r="CJ1503" s="23" t="s">
        <v>1642</v>
      </c>
      <c r="CN1503" s="23">
        <v>0.91</v>
      </c>
      <c r="CO1503" s="23">
        <v>1.49</v>
      </c>
      <c r="DI1503" s="23">
        <v>26</v>
      </c>
      <c r="DJ1503" s="23">
        <v>25</v>
      </c>
      <c r="DK1503" s="23" t="s">
        <v>196</v>
      </c>
      <c r="EM1503" s="23">
        <v>1610</v>
      </c>
      <c r="EN1503" s="23">
        <v>1540</v>
      </c>
      <c r="EP1503" s="23">
        <v>23.3</v>
      </c>
      <c r="EQ1503" s="23">
        <v>25.9</v>
      </c>
      <c r="FH1503" s="23">
        <f>0.000012*144</f>
        <v>1.7279999999999999E-3</v>
      </c>
      <c r="FI1503" s="23">
        <f>0.000012*114</f>
        <v>1.3680000000000001E-3</v>
      </c>
      <c r="FJ1503" s="23" t="s">
        <v>1930</v>
      </c>
      <c r="FO1503" s="23">
        <v>99999</v>
      </c>
      <c r="FP1503" s="23">
        <v>99999</v>
      </c>
      <c r="FR1503" s="23" t="s">
        <v>515</v>
      </c>
      <c r="FT1503" s="23">
        <v>68</v>
      </c>
    </row>
    <row r="1504" spans="1:176" s="23" customFormat="1" x14ac:dyDescent="0.25">
      <c r="A1504" s="23">
        <v>68</v>
      </c>
      <c r="B1504" s="23" t="s">
        <v>1171</v>
      </c>
      <c r="C1504" s="23" t="s">
        <v>1172</v>
      </c>
      <c r="D1504" s="23">
        <v>2011</v>
      </c>
      <c r="E1504" s="23">
        <v>1995</v>
      </c>
      <c r="F1504" s="23" t="s">
        <v>498</v>
      </c>
      <c r="G1504" s="23" t="s">
        <v>1641</v>
      </c>
      <c r="H1504" s="23">
        <v>43.3</v>
      </c>
      <c r="I1504" s="23">
        <v>-89.35</v>
      </c>
      <c r="J1504" s="23">
        <v>317.10000000000002</v>
      </c>
      <c r="P1504" s="53" t="s">
        <v>1910</v>
      </c>
      <c r="Q1504" s="53" t="s">
        <v>994</v>
      </c>
      <c r="R1504" s="53" t="s">
        <v>1928</v>
      </c>
      <c r="S1504" s="53" t="s">
        <v>1590</v>
      </c>
      <c r="T1504" s="53" t="s">
        <v>1570</v>
      </c>
      <c r="U1504" s="53" t="s">
        <v>1555</v>
      </c>
      <c r="V1504" s="53" t="s">
        <v>1905</v>
      </c>
      <c r="Z1504" s="23" t="s">
        <v>531</v>
      </c>
      <c r="AD1504" s="23" t="s">
        <v>1505</v>
      </c>
      <c r="AE1504" s="23" t="s">
        <v>142</v>
      </c>
      <c r="AF1504" s="152" t="s">
        <v>666</v>
      </c>
      <c r="AG1504" s="23" t="s">
        <v>1773</v>
      </c>
      <c r="AH1504" s="155" t="s">
        <v>1791</v>
      </c>
      <c r="AL1504" s="23" t="s">
        <v>572</v>
      </c>
      <c r="AM1504" s="23" t="s">
        <v>572</v>
      </c>
      <c r="AN1504" s="23" t="s">
        <v>212</v>
      </c>
      <c r="AR1504" s="23" t="s">
        <v>192</v>
      </c>
      <c r="AS1504" s="23">
        <v>4</v>
      </c>
      <c r="AT1504" s="23">
        <v>4</v>
      </c>
      <c r="AU1504" s="23" t="s">
        <v>169</v>
      </c>
      <c r="BG1504" s="23">
        <v>1.37</v>
      </c>
      <c r="BH1504" s="23">
        <v>1.41</v>
      </c>
      <c r="BJ1504" s="23">
        <v>2.2999999999999998</v>
      </c>
      <c r="BK1504" s="23">
        <v>2.4</v>
      </c>
      <c r="BL1504" s="23" t="s">
        <v>709</v>
      </c>
      <c r="BM1504" s="23">
        <v>230</v>
      </c>
      <c r="BN1504" s="23">
        <v>230</v>
      </c>
      <c r="BO1504" s="23" t="s">
        <v>272</v>
      </c>
      <c r="BP1504" s="23">
        <v>46.8</v>
      </c>
      <c r="BQ1504" s="23">
        <v>50.5</v>
      </c>
      <c r="BS1504" s="23">
        <v>79</v>
      </c>
      <c r="BT1504" s="23">
        <v>75</v>
      </c>
      <c r="BV1504" s="23">
        <v>6.8</v>
      </c>
      <c r="BW1504" s="23">
        <v>6.7</v>
      </c>
      <c r="CH1504" s="23">
        <v>851</v>
      </c>
      <c r="CI1504" s="23">
        <v>882</v>
      </c>
      <c r="CJ1504" s="23" t="s">
        <v>1642</v>
      </c>
      <c r="CN1504" s="23">
        <v>1.02</v>
      </c>
      <c r="CO1504" s="23">
        <v>1.75</v>
      </c>
      <c r="DI1504" s="23">
        <v>26</v>
      </c>
      <c r="DJ1504" s="23">
        <v>26</v>
      </c>
      <c r="DK1504" s="23" t="s">
        <v>196</v>
      </c>
      <c r="EM1504" s="23">
        <v>1840</v>
      </c>
      <c r="EN1504" s="23">
        <v>1820</v>
      </c>
      <c r="EP1504" s="23">
        <v>29.8</v>
      </c>
      <c r="EQ1504" s="23">
        <v>30.9</v>
      </c>
      <c r="FH1504" s="23">
        <f>0.000012*134</f>
        <v>1.6080000000000001E-3</v>
      </c>
      <c r="FI1504" s="23">
        <f>0.000012*95</f>
        <v>1.14E-3</v>
      </c>
      <c r="FJ1504" s="23" t="s">
        <v>1931</v>
      </c>
      <c r="FO1504" s="23">
        <v>99999</v>
      </c>
      <c r="FP1504" s="23">
        <v>99999</v>
      </c>
      <c r="FR1504" s="23" t="s">
        <v>515</v>
      </c>
      <c r="FT1504" s="23">
        <v>68</v>
      </c>
    </row>
    <row r="1505" spans="1:176" s="26" customFormat="1" x14ac:dyDescent="0.25">
      <c r="A1505" s="26">
        <v>69</v>
      </c>
      <c r="B1505" s="26" t="s">
        <v>1201</v>
      </c>
      <c r="C1505" s="26" t="s">
        <v>1202</v>
      </c>
      <c r="D1505" s="26">
        <v>2000</v>
      </c>
      <c r="E1505" s="26">
        <v>1995</v>
      </c>
      <c r="F1505" s="26" t="s">
        <v>371</v>
      </c>
      <c r="G1505" s="26" t="s">
        <v>1203</v>
      </c>
      <c r="H1505" s="26">
        <v>41.15</v>
      </c>
      <c r="I1505" s="26">
        <v>-96.5</v>
      </c>
      <c r="J1505" s="26">
        <v>346.8</v>
      </c>
      <c r="P1505" s="52">
        <v>1</v>
      </c>
      <c r="Q1505" s="52"/>
      <c r="R1505" s="52"/>
      <c r="S1505" s="52" t="s">
        <v>1558</v>
      </c>
      <c r="T1505" s="52" t="s">
        <v>1558</v>
      </c>
      <c r="U1505" s="52" t="s">
        <v>1558</v>
      </c>
      <c r="V1505" s="52" t="s">
        <v>1905</v>
      </c>
      <c r="W1505" s="26">
        <v>1.28</v>
      </c>
      <c r="Z1505" s="26" t="s">
        <v>1204</v>
      </c>
      <c r="AA1505" s="26">
        <v>6.3</v>
      </c>
      <c r="AB1505" s="26">
        <v>2.6</v>
      </c>
      <c r="AD1505" s="26" t="s">
        <v>1515</v>
      </c>
      <c r="AE1505" s="26" t="s">
        <v>1205</v>
      </c>
      <c r="AF1505" s="152" t="s">
        <v>159</v>
      </c>
      <c r="AG1505" s="26" t="s">
        <v>190</v>
      </c>
      <c r="AH1505" s="154" t="s">
        <v>190</v>
      </c>
      <c r="AR1505" s="26" t="s">
        <v>192</v>
      </c>
      <c r="AS1505" s="26">
        <v>3</v>
      </c>
      <c r="AT1505" s="26">
        <v>3</v>
      </c>
      <c r="AU1505" s="26" t="s">
        <v>169</v>
      </c>
      <c r="AW1505" s="26">
        <v>3170</v>
      </c>
      <c r="AY1505" s="26" t="s">
        <v>1208</v>
      </c>
      <c r="AZ1505" s="26" t="s">
        <v>1206</v>
      </c>
      <c r="BD1505" s="26">
        <v>2150</v>
      </c>
      <c r="BE1505" s="26">
        <v>2160</v>
      </c>
      <c r="DF1505" s="26">
        <v>29.66</v>
      </c>
      <c r="DG1505" s="26">
        <v>27</v>
      </c>
      <c r="DI1505" s="26">
        <f>27.05/1.28</f>
        <v>21.1328125</v>
      </c>
      <c r="DJ1505" s="26">
        <f>25.62/1.28</f>
        <v>20.015625</v>
      </c>
      <c r="DK1505" s="26" t="s">
        <v>1227</v>
      </c>
      <c r="FR1505" s="26" t="s">
        <v>1211</v>
      </c>
      <c r="FT1505" s="26">
        <v>69</v>
      </c>
    </row>
    <row r="1506" spans="1:176" s="26" customFormat="1" x14ac:dyDescent="0.25">
      <c r="A1506" s="26">
        <v>69</v>
      </c>
      <c r="B1506" s="26" t="s">
        <v>1201</v>
      </c>
      <c r="C1506" s="26" t="s">
        <v>1202</v>
      </c>
      <c r="D1506" s="26">
        <v>2000</v>
      </c>
      <c r="E1506" s="26">
        <v>1995</v>
      </c>
      <c r="F1506" s="26" t="s">
        <v>371</v>
      </c>
      <c r="G1506" s="26" t="s">
        <v>1203</v>
      </c>
      <c r="H1506" s="26">
        <v>41.15</v>
      </c>
      <c r="I1506" s="26">
        <v>-96.5</v>
      </c>
      <c r="J1506" s="26">
        <v>346.8</v>
      </c>
      <c r="P1506" s="52">
        <v>1</v>
      </c>
      <c r="Q1506" s="52"/>
      <c r="R1506" s="52"/>
      <c r="S1506" s="52" t="s">
        <v>1558</v>
      </c>
      <c r="T1506" s="52" t="s">
        <v>1558</v>
      </c>
      <c r="U1506" s="52" t="s">
        <v>1558</v>
      </c>
      <c r="V1506" s="52" t="s">
        <v>1905</v>
      </c>
      <c r="W1506" s="26">
        <v>1.28</v>
      </c>
      <c r="Z1506" s="26" t="s">
        <v>1204</v>
      </c>
      <c r="AA1506" s="26">
        <v>6.3</v>
      </c>
      <c r="AB1506" s="26">
        <v>2.6</v>
      </c>
      <c r="AD1506" s="26" t="s">
        <v>1515</v>
      </c>
      <c r="AE1506" s="26" t="s">
        <v>159</v>
      </c>
      <c r="AF1506" s="152" t="s">
        <v>159</v>
      </c>
      <c r="AG1506" s="26" t="s">
        <v>190</v>
      </c>
      <c r="AH1506" s="154" t="s">
        <v>190</v>
      </c>
      <c r="AR1506" s="26" t="s">
        <v>192</v>
      </c>
      <c r="AS1506" s="26">
        <v>3</v>
      </c>
      <c r="AT1506" s="26">
        <v>3</v>
      </c>
      <c r="AU1506" s="26" t="s">
        <v>169</v>
      </c>
      <c r="AW1506" s="26">
        <v>6310</v>
      </c>
      <c r="AY1506" s="26" t="s">
        <v>1208</v>
      </c>
      <c r="AZ1506" s="26" t="s">
        <v>1206</v>
      </c>
      <c r="BD1506" s="26">
        <v>2150</v>
      </c>
      <c r="BE1506" s="26">
        <v>1910</v>
      </c>
      <c r="DI1506" s="26">
        <f t="shared" ref="DI1506:DI1508" si="252">27.05/1.28</f>
        <v>21.1328125</v>
      </c>
      <c r="DJ1506" s="26">
        <f>30.54/1.28</f>
        <v>23.859375</v>
      </c>
      <c r="DK1506" s="26" t="s">
        <v>1227</v>
      </c>
      <c r="FR1506" s="26" t="s">
        <v>1211</v>
      </c>
      <c r="FT1506" s="26">
        <v>69</v>
      </c>
    </row>
    <row r="1507" spans="1:176" s="26" customFormat="1" x14ac:dyDescent="0.25">
      <c r="A1507" s="26">
        <v>69</v>
      </c>
      <c r="B1507" s="26" t="s">
        <v>1201</v>
      </c>
      <c r="C1507" s="26" t="s">
        <v>1202</v>
      </c>
      <c r="D1507" s="26">
        <v>2000</v>
      </c>
      <c r="E1507" s="26">
        <v>1995</v>
      </c>
      <c r="F1507" s="26" t="s">
        <v>371</v>
      </c>
      <c r="G1507" s="26" t="s">
        <v>1203</v>
      </c>
      <c r="H1507" s="26">
        <v>41.15</v>
      </c>
      <c r="I1507" s="26">
        <v>-96.5</v>
      </c>
      <c r="J1507" s="26">
        <v>346.8</v>
      </c>
      <c r="P1507" s="52">
        <v>1</v>
      </c>
      <c r="Q1507" s="52"/>
      <c r="R1507" s="52"/>
      <c r="S1507" s="52" t="s">
        <v>1558</v>
      </c>
      <c r="T1507" s="52" t="s">
        <v>1558</v>
      </c>
      <c r="U1507" s="52" t="s">
        <v>1558</v>
      </c>
      <c r="V1507" s="52" t="s">
        <v>1905</v>
      </c>
      <c r="W1507" s="26">
        <v>1.28</v>
      </c>
      <c r="Z1507" s="26" t="s">
        <v>1204</v>
      </c>
      <c r="AA1507" s="26">
        <v>6.3</v>
      </c>
      <c r="AB1507" s="26">
        <v>2.6</v>
      </c>
      <c r="AD1507" s="26" t="s">
        <v>1515</v>
      </c>
      <c r="AE1507" s="26" t="s">
        <v>889</v>
      </c>
      <c r="AF1507" s="152" t="s">
        <v>1761</v>
      </c>
      <c r="AG1507" s="26" t="s">
        <v>190</v>
      </c>
      <c r="AH1507" s="154" t="s">
        <v>190</v>
      </c>
      <c r="AR1507" s="26" t="s">
        <v>192</v>
      </c>
      <c r="AS1507" s="26">
        <v>3</v>
      </c>
      <c r="AT1507" s="26">
        <v>3</v>
      </c>
      <c r="AU1507" s="26" t="s">
        <v>169</v>
      </c>
      <c r="AW1507" s="26">
        <v>7160</v>
      </c>
      <c r="AY1507" s="26" t="s">
        <v>1208</v>
      </c>
      <c r="AZ1507" s="26" t="s">
        <v>1206</v>
      </c>
      <c r="BD1507" s="26">
        <v>2150</v>
      </c>
      <c r="BE1507" s="26">
        <v>2200</v>
      </c>
      <c r="DI1507" s="26">
        <f t="shared" si="252"/>
        <v>21.1328125</v>
      </c>
      <c r="DJ1507" s="26">
        <f>28.9/1.28</f>
        <v>22.578125</v>
      </c>
      <c r="DK1507" s="26" t="s">
        <v>1227</v>
      </c>
      <c r="FR1507" s="26" t="s">
        <v>1211</v>
      </c>
      <c r="FT1507" s="26">
        <v>69</v>
      </c>
    </row>
    <row r="1508" spans="1:176" s="26" customFormat="1" x14ac:dyDescent="0.25">
      <c r="A1508" s="26">
        <v>69</v>
      </c>
      <c r="B1508" s="26" t="s">
        <v>1201</v>
      </c>
      <c r="C1508" s="26" t="s">
        <v>1202</v>
      </c>
      <c r="D1508" s="26">
        <v>2000</v>
      </c>
      <c r="E1508" s="26">
        <v>1995</v>
      </c>
      <c r="F1508" s="26" t="s">
        <v>371</v>
      </c>
      <c r="G1508" s="26" t="s">
        <v>1203</v>
      </c>
      <c r="H1508" s="26">
        <v>41.15</v>
      </c>
      <c r="I1508" s="26">
        <v>-96.5</v>
      </c>
      <c r="J1508" s="26">
        <v>346.8</v>
      </c>
      <c r="P1508" s="52">
        <v>1</v>
      </c>
      <c r="Q1508" s="52"/>
      <c r="R1508" s="52"/>
      <c r="S1508" s="52" t="s">
        <v>1558</v>
      </c>
      <c r="T1508" s="52" t="s">
        <v>1558</v>
      </c>
      <c r="U1508" s="52" t="s">
        <v>1558</v>
      </c>
      <c r="V1508" s="52" t="s">
        <v>1905</v>
      </c>
      <c r="W1508" s="26">
        <v>1.28</v>
      </c>
      <c r="Z1508" s="26" t="s">
        <v>1204</v>
      </c>
      <c r="AA1508" s="26">
        <v>6.3</v>
      </c>
      <c r="AB1508" s="26">
        <v>2.6</v>
      </c>
      <c r="AD1508" s="26" t="s">
        <v>1515</v>
      </c>
      <c r="AE1508" s="26" t="s">
        <v>144</v>
      </c>
      <c r="AF1508" s="152" t="s">
        <v>1761</v>
      </c>
      <c r="AG1508" s="26" t="s">
        <v>190</v>
      </c>
      <c r="AH1508" s="154" t="s">
        <v>190</v>
      </c>
      <c r="AR1508" s="26" t="s">
        <v>192</v>
      </c>
      <c r="AS1508" s="26">
        <v>3</v>
      </c>
      <c r="AT1508" s="26">
        <v>3</v>
      </c>
      <c r="AU1508" s="26" t="s">
        <v>169</v>
      </c>
      <c r="AW1508" s="26">
        <v>6710</v>
      </c>
      <c r="AY1508" s="26" t="s">
        <v>1208</v>
      </c>
      <c r="AZ1508" s="26" t="s">
        <v>1206</v>
      </c>
      <c r="BD1508" s="26">
        <v>2150</v>
      </c>
      <c r="BE1508" s="26">
        <v>2330</v>
      </c>
      <c r="DI1508" s="26">
        <f t="shared" si="252"/>
        <v>21.1328125</v>
      </c>
      <c r="DJ1508" s="26">
        <f>28.9/1.28</f>
        <v>22.578125</v>
      </c>
      <c r="DK1508" s="26" t="s">
        <v>1227</v>
      </c>
      <c r="FR1508" s="26" t="s">
        <v>1211</v>
      </c>
      <c r="FT1508" s="26">
        <v>69</v>
      </c>
    </row>
    <row r="1509" spans="1:176" s="26" customFormat="1" x14ac:dyDescent="0.25">
      <c r="A1509" s="26">
        <v>69</v>
      </c>
      <c r="B1509" s="26" t="s">
        <v>1201</v>
      </c>
      <c r="C1509" s="26" t="s">
        <v>1202</v>
      </c>
      <c r="D1509" s="26">
        <v>2000</v>
      </c>
      <c r="E1509" s="26">
        <v>1995</v>
      </c>
      <c r="F1509" s="26" t="s">
        <v>371</v>
      </c>
      <c r="G1509" s="26" t="s">
        <v>1203</v>
      </c>
      <c r="H1509" s="26">
        <v>41.15</v>
      </c>
      <c r="I1509" s="26">
        <v>-96.5</v>
      </c>
      <c r="J1509" s="26">
        <v>346.8</v>
      </c>
      <c r="P1509" s="52">
        <v>1</v>
      </c>
      <c r="Q1509" s="52"/>
      <c r="R1509" s="52"/>
      <c r="S1509" s="52" t="s">
        <v>1558</v>
      </c>
      <c r="T1509" s="52" t="s">
        <v>1558</v>
      </c>
      <c r="U1509" s="52" t="s">
        <v>1558</v>
      </c>
      <c r="V1509" s="52" t="s">
        <v>1905</v>
      </c>
      <c r="W1509" s="26">
        <v>1.28</v>
      </c>
      <c r="Z1509" s="26" t="s">
        <v>1204</v>
      </c>
      <c r="AA1509" s="26">
        <v>6.3</v>
      </c>
      <c r="AB1509" s="26">
        <v>2.6</v>
      </c>
      <c r="AD1509" s="26" t="s">
        <v>1515</v>
      </c>
      <c r="AE1509" s="26" t="s">
        <v>1205</v>
      </c>
      <c r="AF1509" s="152" t="s">
        <v>159</v>
      </c>
      <c r="AG1509" s="26" t="s">
        <v>190</v>
      </c>
      <c r="AH1509" s="154" t="s">
        <v>190</v>
      </c>
      <c r="AR1509" s="26" t="s">
        <v>192</v>
      </c>
      <c r="AS1509" s="26">
        <v>3</v>
      </c>
      <c r="AT1509" s="26">
        <v>3</v>
      </c>
      <c r="AU1509" s="26" t="s">
        <v>169</v>
      </c>
      <c r="AW1509" s="26">
        <v>3170</v>
      </c>
      <c r="AY1509" s="26" t="s">
        <v>1208</v>
      </c>
      <c r="AZ1509" s="26" t="s">
        <v>1207</v>
      </c>
      <c r="BD1509" s="26">
        <v>1980</v>
      </c>
      <c r="BE1509" s="26">
        <v>1100</v>
      </c>
      <c r="DI1509" s="26">
        <f>18.19/1.28</f>
        <v>14.2109375</v>
      </c>
      <c r="DJ1509" s="26">
        <f>20.79/1.28</f>
        <v>16.2421875</v>
      </c>
      <c r="DK1509" s="26" t="s">
        <v>1227</v>
      </c>
      <c r="FR1509" s="26" t="s">
        <v>1211</v>
      </c>
      <c r="FT1509" s="26">
        <v>69</v>
      </c>
    </row>
    <row r="1510" spans="1:176" s="26" customFormat="1" x14ac:dyDescent="0.25">
      <c r="A1510" s="26">
        <v>69</v>
      </c>
      <c r="B1510" s="26" t="s">
        <v>1201</v>
      </c>
      <c r="C1510" s="26" t="s">
        <v>1202</v>
      </c>
      <c r="D1510" s="26">
        <v>2000</v>
      </c>
      <c r="E1510" s="26">
        <v>1995</v>
      </c>
      <c r="F1510" s="26" t="s">
        <v>371</v>
      </c>
      <c r="G1510" s="26" t="s">
        <v>1203</v>
      </c>
      <c r="H1510" s="26">
        <v>41.15</v>
      </c>
      <c r="I1510" s="26">
        <v>-96.5</v>
      </c>
      <c r="J1510" s="26">
        <v>346.8</v>
      </c>
      <c r="P1510" s="52">
        <v>1</v>
      </c>
      <c r="Q1510" s="52"/>
      <c r="R1510" s="52"/>
      <c r="S1510" s="52" t="s">
        <v>1558</v>
      </c>
      <c r="T1510" s="52" t="s">
        <v>1558</v>
      </c>
      <c r="U1510" s="52" t="s">
        <v>1558</v>
      </c>
      <c r="V1510" s="52" t="s">
        <v>1905</v>
      </c>
      <c r="W1510" s="26">
        <v>1.28</v>
      </c>
      <c r="Z1510" s="26" t="s">
        <v>1204</v>
      </c>
      <c r="AA1510" s="26">
        <v>6.3</v>
      </c>
      <c r="AB1510" s="26">
        <v>2.6</v>
      </c>
      <c r="AD1510" s="26" t="s">
        <v>1515</v>
      </c>
      <c r="AE1510" s="26" t="s">
        <v>159</v>
      </c>
      <c r="AF1510" s="152" t="s">
        <v>159</v>
      </c>
      <c r="AG1510" s="26" t="s">
        <v>190</v>
      </c>
      <c r="AH1510" s="154" t="s">
        <v>190</v>
      </c>
      <c r="AR1510" s="26" t="s">
        <v>192</v>
      </c>
      <c r="AS1510" s="26">
        <v>3</v>
      </c>
      <c r="AT1510" s="26">
        <v>3</v>
      </c>
      <c r="AU1510" s="26" t="s">
        <v>169</v>
      </c>
      <c r="AW1510" s="26">
        <v>6310</v>
      </c>
      <c r="AY1510" s="26" t="s">
        <v>1208</v>
      </c>
      <c r="AZ1510" s="26" t="s">
        <v>1207</v>
      </c>
      <c r="BD1510" s="26">
        <v>1980</v>
      </c>
      <c r="BE1510" s="26">
        <v>1170</v>
      </c>
      <c r="DI1510" s="26">
        <f t="shared" ref="DI1510:DI1512" si="253">18.19/1.28</f>
        <v>14.2109375</v>
      </c>
      <c r="DJ1510" s="26">
        <f>22.62/1.28</f>
        <v>17.671875</v>
      </c>
      <c r="DK1510" s="26" t="s">
        <v>1227</v>
      </c>
      <c r="FR1510" s="26" t="s">
        <v>1211</v>
      </c>
      <c r="FT1510" s="26">
        <v>69</v>
      </c>
    </row>
    <row r="1511" spans="1:176" s="26" customFormat="1" x14ac:dyDescent="0.25">
      <c r="A1511" s="26">
        <v>69</v>
      </c>
      <c r="B1511" s="26" t="s">
        <v>1201</v>
      </c>
      <c r="C1511" s="26" t="s">
        <v>1202</v>
      </c>
      <c r="D1511" s="26">
        <v>2000</v>
      </c>
      <c r="E1511" s="26">
        <v>1995</v>
      </c>
      <c r="F1511" s="26" t="s">
        <v>371</v>
      </c>
      <c r="G1511" s="26" t="s">
        <v>1203</v>
      </c>
      <c r="H1511" s="26">
        <v>41.15</v>
      </c>
      <c r="I1511" s="26">
        <v>-96.5</v>
      </c>
      <c r="J1511" s="26">
        <v>346.8</v>
      </c>
      <c r="P1511" s="52">
        <v>1</v>
      </c>
      <c r="Q1511" s="52"/>
      <c r="R1511" s="52"/>
      <c r="S1511" s="52" t="s">
        <v>1558</v>
      </c>
      <c r="T1511" s="52" t="s">
        <v>1558</v>
      </c>
      <c r="U1511" s="52" t="s">
        <v>1558</v>
      </c>
      <c r="V1511" s="52" t="s">
        <v>1905</v>
      </c>
      <c r="W1511" s="26">
        <v>1.28</v>
      </c>
      <c r="Z1511" s="26" t="s">
        <v>1204</v>
      </c>
      <c r="AA1511" s="26">
        <v>6.3</v>
      </c>
      <c r="AB1511" s="26">
        <v>2.6</v>
      </c>
      <c r="AD1511" s="26" t="s">
        <v>1515</v>
      </c>
      <c r="AE1511" s="26" t="s">
        <v>889</v>
      </c>
      <c r="AF1511" s="152" t="s">
        <v>1761</v>
      </c>
      <c r="AG1511" s="26" t="s">
        <v>190</v>
      </c>
      <c r="AH1511" s="154" t="s">
        <v>190</v>
      </c>
      <c r="AR1511" s="26" t="s">
        <v>192</v>
      </c>
      <c r="AS1511" s="26">
        <v>3</v>
      </c>
      <c r="AT1511" s="26">
        <v>3</v>
      </c>
      <c r="AU1511" s="26" t="s">
        <v>169</v>
      </c>
      <c r="AW1511" s="26">
        <v>7160</v>
      </c>
      <c r="AY1511" s="26" t="s">
        <v>1208</v>
      </c>
      <c r="AZ1511" s="26" t="s">
        <v>1207</v>
      </c>
      <c r="BD1511" s="26">
        <v>1980</v>
      </c>
      <c r="BE1511" s="26">
        <v>1410</v>
      </c>
      <c r="DI1511" s="26">
        <f t="shared" si="253"/>
        <v>14.2109375</v>
      </c>
      <c r="DJ1511" s="26">
        <f>20.18/1.28</f>
        <v>15.765625</v>
      </c>
      <c r="DK1511" s="26" t="s">
        <v>1227</v>
      </c>
      <c r="FR1511" s="26" t="s">
        <v>1211</v>
      </c>
      <c r="FT1511" s="26">
        <v>69</v>
      </c>
    </row>
    <row r="1512" spans="1:176" s="26" customFormat="1" x14ac:dyDescent="0.25">
      <c r="A1512" s="26">
        <v>69</v>
      </c>
      <c r="B1512" s="26" t="s">
        <v>1201</v>
      </c>
      <c r="C1512" s="26" t="s">
        <v>1202</v>
      </c>
      <c r="D1512" s="26">
        <v>2000</v>
      </c>
      <c r="E1512" s="26">
        <v>1995</v>
      </c>
      <c r="F1512" s="26" t="s">
        <v>371</v>
      </c>
      <c r="G1512" s="26" t="s">
        <v>1203</v>
      </c>
      <c r="H1512" s="26">
        <v>41.15</v>
      </c>
      <c r="I1512" s="26">
        <v>-96.5</v>
      </c>
      <c r="J1512" s="26">
        <v>346.8</v>
      </c>
      <c r="P1512" s="52">
        <v>1</v>
      </c>
      <c r="Q1512" s="52"/>
      <c r="R1512" s="52"/>
      <c r="S1512" s="52" t="s">
        <v>1558</v>
      </c>
      <c r="T1512" s="52" t="s">
        <v>1558</v>
      </c>
      <c r="U1512" s="52" t="s">
        <v>1558</v>
      </c>
      <c r="V1512" s="52" t="s">
        <v>1905</v>
      </c>
      <c r="W1512" s="26">
        <v>1.28</v>
      </c>
      <c r="Z1512" s="26" t="s">
        <v>1204</v>
      </c>
      <c r="AA1512" s="26">
        <v>6.3</v>
      </c>
      <c r="AB1512" s="26">
        <v>2.6</v>
      </c>
      <c r="AD1512" s="26" t="s">
        <v>1515</v>
      </c>
      <c r="AE1512" s="26" t="s">
        <v>144</v>
      </c>
      <c r="AF1512" s="152" t="s">
        <v>1761</v>
      </c>
      <c r="AG1512" s="26" t="s">
        <v>190</v>
      </c>
      <c r="AH1512" s="154" t="s">
        <v>190</v>
      </c>
      <c r="AR1512" s="26" t="s">
        <v>192</v>
      </c>
      <c r="AS1512" s="26">
        <v>3</v>
      </c>
      <c r="AT1512" s="26">
        <v>3</v>
      </c>
      <c r="AU1512" s="26" t="s">
        <v>169</v>
      </c>
      <c r="AW1512" s="26">
        <v>6710</v>
      </c>
      <c r="AY1512" s="26" t="s">
        <v>1208</v>
      </c>
      <c r="AZ1512" s="26" t="s">
        <v>1207</v>
      </c>
      <c r="BD1512" s="26">
        <v>1980</v>
      </c>
      <c r="BE1512" s="26">
        <v>1510</v>
      </c>
      <c r="DI1512" s="26">
        <f t="shared" si="253"/>
        <v>14.2109375</v>
      </c>
      <c r="DJ1512" s="26">
        <f>20.18/1.28</f>
        <v>15.765625</v>
      </c>
      <c r="DK1512" s="26" t="s">
        <v>1227</v>
      </c>
      <c r="FR1512" s="26" t="s">
        <v>1211</v>
      </c>
      <c r="FT1512" s="26">
        <v>69</v>
      </c>
    </row>
    <row r="1513" spans="1:176" s="35" customFormat="1" x14ac:dyDescent="0.25">
      <c r="A1513" s="35">
        <v>69</v>
      </c>
      <c r="B1513" s="35" t="s">
        <v>1201</v>
      </c>
      <c r="C1513" s="35" t="s">
        <v>1202</v>
      </c>
      <c r="D1513" s="35">
        <v>2000</v>
      </c>
      <c r="E1513" s="35">
        <v>1996</v>
      </c>
      <c r="F1513" s="35" t="s">
        <v>371</v>
      </c>
      <c r="G1513" s="35" t="s">
        <v>1203</v>
      </c>
      <c r="H1513" s="35">
        <v>41.15</v>
      </c>
      <c r="I1513" s="35">
        <v>-96.5</v>
      </c>
      <c r="J1513" s="35">
        <v>346.8</v>
      </c>
      <c r="P1513" s="54">
        <v>2</v>
      </c>
      <c r="Q1513" s="54"/>
      <c r="R1513" s="54"/>
      <c r="S1513" s="54" t="s">
        <v>1558</v>
      </c>
      <c r="T1513" s="54" t="s">
        <v>1558</v>
      </c>
      <c r="U1513" s="54" t="s">
        <v>1558</v>
      </c>
      <c r="V1513" s="54" t="s">
        <v>1905</v>
      </c>
      <c r="W1513" s="35">
        <v>1.28</v>
      </c>
      <c r="Z1513" s="35" t="s">
        <v>1204</v>
      </c>
      <c r="AA1513" s="35">
        <v>6.3</v>
      </c>
      <c r="AB1513" s="35">
        <v>2.6</v>
      </c>
      <c r="AD1513" s="35" t="s">
        <v>1515</v>
      </c>
      <c r="AE1513" s="35" t="s">
        <v>1205</v>
      </c>
      <c r="AF1513" s="152" t="s">
        <v>159</v>
      </c>
      <c r="AG1513" s="35" t="s">
        <v>190</v>
      </c>
      <c r="AH1513" s="154" t="s">
        <v>190</v>
      </c>
      <c r="AR1513" s="35" t="s">
        <v>192</v>
      </c>
      <c r="AS1513" s="35">
        <v>3</v>
      </c>
      <c r="AT1513" s="35">
        <v>3</v>
      </c>
      <c r="AU1513" s="35" t="s">
        <v>169</v>
      </c>
      <c r="AW1513" s="35">
        <v>130</v>
      </c>
      <c r="AY1513" s="35" t="s">
        <v>1209</v>
      </c>
      <c r="BD1513" s="35">
        <v>1200</v>
      </c>
      <c r="BE1513" s="35">
        <v>1480</v>
      </c>
      <c r="DF1513" s="35">
        <v>24.88</v>
      </c>
      <c r="DG1513" s="35">
        <v>20.39</v>
      </c>
      <c r="DI1513" s="35">
        <f>17.57/1.28</f>
        <v>13.7265625</v>
      </c>
      <c r="DJ1513" s="35">
        <f>22.21/1.28</f>
        <v>17.3515625</v>
      </c>
      <c r="DK1513" s="35" t="s">
        <v>1227</v>
      </c>
      <c r="FR1513" s="35" t="s">
        <v>1211</v>
      </c>
      <c r="FT1513" s="35">
        <v>69</v>
      </c>
    </row>
    <row r="1514" spans="1:176" s="35" customFormat="1" x14ac:dyDescent="0.25">
      <c r="A1514" s="35">
        <v>69</v>
      </c>
      <c r="B1514" s="35" t="s">
        <v>1201</v>
      </c>
      <c r="C1514" s="35" t="s">
        <v>1202</v>
      </c>
      <c r="D1514" s="35">
        <v>2000</v>
      </c>
      <c r="E1514" s="35">
        <v>1996</v>
      </c>
      <c r="F1514" s="35" t="s">
        <v>371</v>
      </c>
      <c r="G1514" s="35" t="s">
        <v>1203</v>
      </c>
      <c r="H1514" s="35">
        <v>41.15</v>
      </c>
      <c r="I1514" s="35">
        <v>-96.5</v>
      </c>
      <c r="J1514" s="35">
        <v>346.8</v>
      </c>
      <c r="P1514" s="54">
        <v>2</v>
      </c>
      <c r="Q1514" s="54"/>
      <c r="R1514" s="54"/>
      <c r="S1514" s="54" t="s">
        <v>1558</v>
      </c>
      <c r="T1514" s="54" t="s">
        <v>1558</v>
      </c>
      <c r="U1514" s="54" t="s">
        <v>1558</v>
      </c>
      <c r="V1514" s="54" t="s">
        <v>1905</v>
      </c>
      <c r="W1514" s="35">
        <v>1.28</v>
      </c>
      <c r="Z1514" s="35" t="s">
        <v>1204</v>
      </c>
      <c r="AA1514" s="35">
        <v>6.3</v>
      </c>
      <c r="AB1514" s="35">
        <v>2.6</v>
      </c>
      <c r="AD1514" s="35" t="s">
        <v>1515</v>
      </c>
      <c r="AE1514" s="35" t="s">
        <v>159</v>
      </c>
      <c r="AF1514" s="152" t="s">
        <v>159</v>
      </c>
      <c r="AG1514" s="35" t="s">
        <v>190</v>
      </c>
      <c r="AH1514" s="154" t="s">
        <v>190</v>
      </c>
      <c r="AR1514" s="35" t="s">
        <v>192</v>
      </c>
      <c r="AS1514" s="35">
        <v>3</v>
      </c>
      <c r="AT1514" s="35">
        <v>3</v>
      </c>
      <c r="AU1514" s="35" t="s">
        <v>169</v>
      </c>
      <c r="AW1514" s="35">
        <v>2890</v>
      </c>
      <c r="AY1514" s="35" t="s">
        <v>1210</v>
      </c>
      <c r="BD1514" s="35">
        <v>1200</v>
      </c>
      <c r="BE1514" s="35">
        <v>2190</v>
      </c>
      <c r="DI1514" s="35">
        <f t="shared" ref="DI1514:DI1517" si="254">17.57/1.28</f>
        <v>13.7265625</v>
      </c>
      <c r="DJ1514" s="35">
        <f>19.61/1.28</f>
        <v>15.3203125</v>
      </c>
      <c r="DK1514" s="35" t="s">
        <v>1227</v>
      </c>
      <c r="FR1514" s="35" t="s">
        <v>1211</v>
      </c>
      <c r="FT1514" s="35">
        <v>69</v>
      </c>
    </row>
    <row r="1515" spans="1:176" s="35" customFormat="1" x14ac:dyDescent="0.25">
      <c r="A1515" s="35">
        <v>69</v>
      </c>
      <c r="B1515" s="35" t="s">
        <v>1201</v>
      </c>
      <c r="C1515" s="35" t="s">
        <v>1202</v>
      </c>
      <c r="D1515" s="35">
        <v>2000</v>
      </c>
      <c r="E1515" s="35">
        <v>1996</v>
      </c>
      <c r="F1515" s="35" t="s">
        <v>371</v>
      </c>
      <c r="G1515" s="35" t="s">
        <v>1203</v>
      </c>
      <c r="H1515" s="35">
        <v>41.15</v>
      </c>
      <c r="I1515" s="35">
        <v>-96.5</v>
      </c>
      <c r="J1515" s="35">
        <v>346.8</v>
      </c>
      <c r="P1515" s="54">
        <v>2</v>
      </c>
      <c r="Q1515" s="54"/>
      <c r="R1515" s="54"/>
      <c r="S1515" s="54" t="s">
        <v>1558</v>
      </c>
      <c r="T1515" s="54" t="s">
        <v>1558</v>
      </c>
      <c r="U1515" s="54" t="s">
        <v>1558</v>
      </c>
      <c r="V1515" s="54" t="s">
        <v>1905</v>
      </c>
      <c r="W1515" s="35">
        <v>1.28</v>
      </c>
      <c r="Z1515" s="35" t="s">
        <v>1204</v>
      </c>
      <c r="AA1515" s="35">
        <v>6.3</v>
      </c>
      <c r="AB1515" s="35">
        <v>2.6</v>
      </c>
      <c r="AD1515" s="35" t="s">
        <v>1515</v>
      </c>
      <c r="AE1515" s="35" t="s">
        <v>889</v>
      </c>
      <c r="AF1515" s="152" t="s">
        <v>1761</v>
      </c>
      <c r="AG1515" s="35" t="s">
        <v>190</v>
      </c>
      <c r="AH1515" s="154" t="s">
        <v>190</v>
      </c>
      <c r="AR1515" s="35" t="s">
        <v>192</v>
      </c>
      <c r="AS1515" s="35">
        <v>3</v>
      </c>
      <c r="AT1515" s="35">
        <v>3</v>
      </c>
      <c r="AU1515" s="35" t="s">
        <v>169</v>
      </c>
      <c r="AW1515" s="35">
        <v>750</v>
      </c>
      <c r="AY1515" s="35" t="s">
        <v>1210</v>
      </c>
      <c r="BD1515" s="35">
        <v>1200</v>
      </c>
      <c r="BE1515" s="35">
        <v>1440</v>
      </c>
      <c r="DI1515" s="35">
        <f t="shared" si="254"/>
        <v>13.7265625</v>
      </c>
      <c r="DJ1515" s="35">
        <f>16</f>
        <v>16</v>
      </c>
      <c r="DK1515" s="35" t="s">
        <v>1227</v>
      </c>
      <c r="FR1515" s="35" t="s">
        <v>1211</v>
      </c>
      <c r="FT1515" s="35">
        <v>69</v>
      </c>
    </row>
    <row r="1516" spans="1:176" s="35" customFormat="1" x14ac:dyDescent="0.25">
      <c r="A1516" s="35">
        <v>69</v>
      </c>
      <c r="B1516" s="35" t="s">
        <v>1201</v>
      </c>
      <c r="C1516" s="35" t="s">
        <v>1202</v>
      </c>
      <c r="D1516" s="35">
        <v>2000</v>
      </c>
      <c r="E1516" s="35">
        <v>1996</v>
      </c>
      <c r="F1516" s="35" t="s">
        <v>371</v>
      </c>
      <c r="G1516" s="35" t="s">
        <v>1203</v>
      </c>
      <c r="H1516" s="35">
        <v>41.15</v>
      </c>
      <c r="I1516" s="35">
        <v>-96.5</v>
      </c>
      <c r="J1516" s="35">
        <v>346.8</v>
      </c>
      <c r="P1516" s="54">
        <v>2</v>
      </c>
      <c r="Q1516" s="54"/>
      <c r="R1516" s="54"/>
      <c r="S1516" s="54" t="s">
        <v>1558</v>
      </c>
      <c r="T1516" s="54" t="s">
        <v>1558</v>
      </c>
      <c r="U1516" s="54" t="s">
        <v>1558</v>
      </c>
      <c r="V1516" s="54" t="s">
        <v>1905</v>
      </c>
      <c r="W1516" s="35">
        <v>1.28</v>
      </c>
      <c r="Z1516" s="35" t="s">
        <v>1204</v>
      </c>
      <c r="AA1516" s="35">
        <v>6.3</v>
      </c>
      <c r="AB1516" s="35">
        <v>2.6</v>
      </c>
      <c r="AD1516" s="35" t="s">
        <v>1515</v>
      </c>
      <c r="AE1516" s="35" t="s">
        <v>144</v>
      </c>
      <c r="AF1516" s="152" t="s">
        <v>1761</v>
      </c>
      <c r="AG1516" s="35" t="s">
        <v>190</v>
      </c>
      <c r="AH1516" s="154" t="s">
        <v>190</v>
      </c>
      <c r="AR1516" s="35" t="s">
        <v>192</v>
      </c>
      <c r="AS1516" s="35">
        <v>3</v>
      </c>
      <c r="AT1516" s="35">
        <v>3</v>
      </c>
      <c r="AU1516" s="35" t="s">
        <v>169</v>
      </c>
      <c r="AW1516" s="35">
        <v>2170</v>
      </c>
      <c r="AY1516" s="35" t="s">
        <v>1209</v>
      </c>
      <c r="BD1516" s="35">
        <v>1200</v>
      </c>
      <c r="BE1516" s="35">
        <v>1960</v>
      </c>
      <c r="DI1516" s="35">
        <f t="shared" si="254"/>
        <v>13.7265625</v>
      </c>
      <c r="DJ1516" s="35">
        <f>16</f>
        <v>16</v>
      </c>
      <c r="DK1516" s="35" t="s">
        <v>1227</v>
      </c>
      <c r="FR1516" s="35" t="s">
        <v>1211</v>
      </c>
      <c r="FT1516" s="35">
        <v>69</v>
      </c>
    </row>
    <row r="1517" spans="1:176" s="35" customFormat="1" x14ac:dyDescent="0.25">
      <c r="A1517" s="35">
        <v>69</v>
      </c>
      <c r="B1517" s="35" t="s">
        <v>1201</v>
      </c>
      <c r="C1517" s="35" t="s">
        <v>1202</v>
      </c>
      <c r="D1517" s="35">
        <v>2000</v>
      </c>
      <c r="E1517" s="35">
        <v>1996</v>
      </c>
      <c r="F1517" s="35" t="s">
        <v>371</v>
      </c>
      <c r="G1517" s="35" t="s">
        <v>1203</v>
      </c>
      <c r="H1517" s="35">
        <v>41.15</v>
      </c>
      <c r="I1517" s="35">
        <v>-96.5</v>
      </c>
      <c r="J1517" s="35">
        <v>346.8</v>
      </c>
      <c r="P1517" s="54">
        <v>2</v>
      </c>
      <c r="Q1517" s="54"/>
      <c r="R1517" s="54"/>
      <c r="S1517" s="54" t="s">
        <v>1558</v>
      </c>
      <c r="T1517" s="54" t="s">
        <v>1558</v>
      </c>
      <c r="U1517" s="54" t="s">
        <v>1558</v>
      </c>
      <c r="V1517" s="54" t="s">
        <v>1905</v>
      </c>
      <c r="W1517" s="35">
        <v>1.28</v>
      </c>
      <c r="Z1517" s="35" t="s">
        <v>1204</v>
      </c>
      <c r="AA1517" s="35">
        <v>6.3</v>
      </c>
      <c r="AB1517" s="35">
        <v>2.6</v>
      </c>
      <c r="AD1517" s="35" t="s">
        <v>1515</v>
      </c>
      <c r="AE1517" s="35" t="s">
        <v>281</v>
      </c>
      <c r="AF1517" s="152" t="s">
        <v>666</v>
      </c>
      <c r="AG1517" s="35" t="s">
        <v>190</v>
      </c>
      <c r="AH1517" s="154" t="s">
        <v>190</v>
      </c>
      <c r="AR1517" s="35" t="s">
        <v>192</v>
      </c>
      <c r="AS1517" s="35">
        <v>3</v>
      </c>
      <c r="AT1517" s="35">
        <v>3</v>
      </c>
      <c r="AU1517" s="35" t="s">
        <v>169</v>
      </c>
      <c r="AW1517" s="35">
        <v>650</v>
      </c>
      <c r="AY1517" s="35" t="s">
        <v>1209</v>
      </c>
      <c r="BD1517" s="35">
        <v>1200</v>
      </c>
      <c r="BE1517" s="35">
        <v>1700</v>
      </c>
      <c r="DI1517" s="35">
        <f t="shared" si="254"/>
        <v>13.7265625</v>
      </c>
      <c r="DJ1517" s="35">
        <f>16</f>
        <v>16</v>
      </c>
      <c r="DK1517" s="35" t="s">
        <v>1227</v>
      </c>
      <c r="FR1517" s="35" t="s">
        <v>1211</v>
      </c>
      <c r="FT1517" s="35">
        <v>69</v>
      </c>
    </row>
    <row r="1518" spans="1:176" s="38" customFormat="1" x14ac:dyDescent="0.25">
      <c r="A1518" s="38">
        <v>70</v>
      </c>
      <c r="B1518" s="38" t="s">
        <v>1212</v>
      </c>
      <c r="C1518" s="38" t="s">
        <v>1213</v>
      </c>
      <c r="D1518" s="38">
        <v>1996</v>
      </c>
      <c r="E1518" s="38">
        <v>1992</v>
      </c>
      <c r="F1518" s="38" t="s">
        <v>1214</v>
      </c>
      <c r="G1518" s="38" t="s">
        <v>1215</v>
      </c>
      <c r="H1518" s="38">
        <v>36.69</v>
      </c>
      <c r="I1518" s="38">
        <v>-121.64</v>
      </c>
      <c r="J1518" s="38">
        <v>11.5</v>
      </c>
      <c r="P1518" s="57">
        <v>1</v>
      </c>
      <c r="Q1518" s="57" t="s">
        <v>994</v>
      </c>
      <c r="R1518" s="57" t="s">
        <v>1217</v>
      </c>
      <c r="S1518" s="57" t="s">
        <v>1571</v>
      </c>
      <c r="T1518" s="57" t="s">
        <v>1571</v>
      </c>
      <c r="U1518" s="57" t="s">
        <v>1571</v>
      </c>
      <c r="V1518" s="57" t="s">
        <v>1911</v>
      </c>
      <c r="W1518" s="38">
        <v>1.46</v>
      </c>
      <c r="X1518" s="38">
        <v>69</v>
      </c>
      <c r="Y1518" s="38">
        <v>20</v>
      </c>
      <c r="Z1518" s="38" t="s">
        <v>167</v>
      </c>
      <c r="AA1518" s="38">
        <v>7.7</v>
      </c>
      <c r="AB1518" s="38">
        <v>0.62</v>
      </c>
      <c r="AD1518" s="38" t="s">
        <v>1516</v>
      </c>
      <c r="AE1518" s="38" t="s">
        <v>1216</v>
      </c>
      <c r="AF1518" s="152" t="s">
        <v>1766</v>
      </c>
      <c r="AG1518" s="38" t="s">
        <v>726</v>
      </c>
      <c r="AH1518" s="155" t="s">
        <v>267</v>
      </c>
      <c r="AR1518" s="38" t="s">
        <v>147</v>
      </c>
      <c r="AS1518" s="38">
        <v>3</v>
      </c>
      <c r="AT1518" s="38">
        <v>3</v>
      </c>
      <c r="AU1518" s="38" t="s">
        <v>169</v>
      </c>
      <c r="AW1518" s="38">
        <v>2.9</v>
      </c>
      <c r="AX1518" s="38">
        <f>AW1518/0.1</f>
        <v>28.999999999999996</v>
      </c>
      <c r="BD1518" s="38">
        <v>3</v>
      </c>
      <c r="BE1518" s="38">
        <v>4</v>
      </c>
      <c r="BM1518" s="38">
        <v>67.489999999999995</v>
      </c>
      <c r="BN1518" s="38">
        <v>53.72</v>
      </c>
      <c r="BO1518" s="38" t="s">
        <v>1223</v>
      </c>
      <c r="DI1518" s="38">
        <v>4.82</v>
      </c>
      <c r="DJ1518" s="38">
        <v>5.87</v>
      </c>
      <c r="DO1518" s="38">
        <v>0.75</v>
      </c>
      <c r="DP1518" s="38">
        <v>0.75</v>
      </c>
      <c r="DQ1518" s="38" t="s">
        <v>1228</v>
      </c>
      <c r="DU1518" s="38">
        <v>1.38</v>
      </c>
      <c r="DV1518" s="38">
        <v>6.13</v>
      </c>
      <c r="DW1518" s="38" t="s">
        <v>1229</v>
      </c>
      <c r="EP1518" s="38">
        <v>6.56</v>
      </c>
      <c r="EQ1518" s="38">
        <v>6.13</v>
      </c>
      <c r="FH1518" s="38">
        <v>86.95</v>
      </c>
      <c r="FI1518" s="38">
        <v>86.95</v>
      </c>
      <c r="FJ1518" s="38">
        <v>10.52</v>
      </c>
      <c r="FK1518" s="38">
        <v>11.66</v>
      </c>
      <c r="FR1518" s="38" t="s">
        <v>879</v>
      </c>
      <c r="FS1518" s="38" t="s">
        <v>1226</v>
      </c>
      <c r="FT1518" s="38">
        <v>70</v>
      </c>
    </row>
    <row r="1519" spans="1:176" s="38" customFormat="1" x14ac:dyDescent="0.25">
      <c r="A1519" s="38">
        <v>70</v>
      </c>
      <c r="B1519" s="38" t="s">
        <v>1212</v>
      </c>
      <c r="C1519" s="38" t="s">
        <v>1213</v>
      </c>
      <c r="D1519" s="38">
        <v>1996</v>
      </c>
      <c r="E1519" s="38">
        <v>1992</v>
      </c>
      <c r="F1519" s="38" t="s">
        <v>1214</v>
      </c>
      <c r="G1519" s="38" t="s">
        <v>1215</v>
      </c>
      <c r="H1519" s="38">
        <v>36.69</v>
      </c>
      <c r="I1519" s="38">
        <v>-121.64</v>
      </c>
      <c r="J1519" s="38">
        <v>11.5</v>
      </c>
      <c r="P1519" s="57">
        <v>1</v>
      </c>
      <c r="Q1519" s="57" t="s">
        <v>994</v>
      </c>
      <c r="R1519" s="57" t="s">
        <v>1218</v>
      </c>
      <c r="S1519" s="57" t="s">
        <v>1571</v>
      </c>
      <c r="T1519" s="57" t="s">
        <v>1571</v>
      </c>
      <c r="U1519" s="57" t="s">
        <v>1571</v>
      </c>
      <c r="V1519" s="57" t="s">
        <v>1911</v>
      </c>
      <c r="W1519" s="38">
        <v>1.46</v>
      </c>
      <c r="X1519" s="38">
        <v>69</v>
      </c>
      <c r="Y1519" s="38">
        <v>20</v>
      </c>
      <c r="Z1519" s="38" t="s">
        <v>167</v>
      </c>
      <c r="AA1519" s="38">
        <v>7.7</v>
      </c>
      <c r="AB1519" s="38">
        <v>0.62</v>
      </c>
      <c r="AD1519" s="38" t="s">
        <v>1516</v>
      </c>
      <c r="AE1519" s="38" t="s">
        <v>1216</v>
      </c>
      <c r="AF1519" s="152" t="s">
        <v>1766</v>
      </c>
      <c r="AG1519" s="38" t="s">
        <v>726</v>
      </c>
      <c r="AH1519" s="155" t="s">
        <v>267</v>
      </c>
      <c r="AR1519" s="38" t="s">
        <v>147</v>
      </c>
      <c r="AS1519" s="38">
        <v>3</v>
      </c>
      <c r="AT1519" s="38">
        <v>3</v>
      </c>
      <c r="AU1519" s="38" t="s">
        <v>169</v>
      </c>
      <c r="AW1519" s="38">
        <v>203</v>
      </c>
      <c r="AX1519" s="38">
        <f>AW1519/11.1</f>
        <v>18.288288288288289</v>
      </c>
      <c r="BD1519" s="38">
        <v>123</v>
      </c>
      <c r="BE1519" s="38">
        <v>106</v>
      </c>
      <c r="BM1519" s="38">
        <v>80.33</v>
      </c>
      <c r="BN1519" s="38">
        <v>88.86</v>
      </c>
      <c r="BO1519" s="38" t="s">
        <v>1223</v>
      </c>
      <c r="DI1519" s="38">
        <v>11.17</v>
      </c>
      <c r="DJ1519" s="38">
        <v>10.87</v>
      </c>
      <c r="DO1519" s="38">
        <v>5.86</v>
      </c>
      <c r="DP1519" s="38">
        <v>1.4</v>
      </c>
      <c r="DQ1519" s="38" t="s">
        <v>1228</v>
      </c>
      <c r="DU1519" s="38">
        <v>10.8</v>
      </c>
      <c r="DV1519" s="38">
        <v>16.510000000000002</v>
      </c>
      <c r="DW1519" s="38" t="s">
        <v>1229</v>
      </c>
      <c r="EP1519" s="38">
        <v>12.79</v>
      </c>
      <c r="EQ1519" s="38">
        <v>10.47</v>
      </c>
      <c r="FH1519" s="38">
        <v>203.57</v>
      </c>
      <c r="FI1519" s="38">
        <v>97.11</v>
      </c>
      <c r="FJ1519" s="38">
        <v>19.37</v>
      </c>
      <c r="FK1519" s="38">
        <v>15.79</v>
      </c>
      <c r="FR1519" s="38" t="s">
        <v>1014</v>
      </c>
      <c r="FS1519" s="38" t="s">
        <v>1226</v>
      </c>
      <c r="FT1519" s="38">
        <v>70</v>
      </c>
    </row>
    <row r="1520" spans="1:176" s="38" customFormat="1" x14ac:dyDescent="0.25">
      <c r="A1520" s="38">
        <v>70</v>
      </c>
      <c r="B1520" s="38" t="s">
        <v>1212</v>
      </c>
      <c r="C1520" s="38" t="s">
        <v>1213</v>
      </c>
      <c r="D1520" s="38">
        <v>1996</v>
      </c>
      <c r="E1520" s="38">
        <v>1993</v>
      </c>
      <c r="F1520" s="38" t="s">
        <v>1214</v>
      </c>
      <c r="G1520" s="38" t="s">
        <v>1215</v>
      </c>
      <c r="H1520" s="38">
        <v>36.69</v>
      </c>
      <c r="I1520" s="38">
        <v>-121.64</v>
      </c>
      <c r="J1520" s="38">
        <v>11.5</v>
      </c>
      <c r="P1520" s="57">
        <v>1</v>
      </c>
      <c r="Q1520" s="57" t="s">
        <v>994</v>
      </c>
      <c r="R1520" s="57" t="s">
        <v>1219</v>
      </c>
      <c r="S1520" s="57" t="s">
        <v>1571</v>
      </c>
      <c r="T1520" s="57" t="s">
        <v>1571</v>
      </c>
      <c r="U1520" s="57" t="s">
        <v>1571</v>
      </c>
      <c r="V1520" s="57" t="s">
        <v>1911</v>
      </c>
      <c r="W1520" s="38">
        <v>1.46</v>
      </c>
      <c r="X1520" s="38">
        <v>69</v>
      </c>
      <c r="Y1520" s="38">
        <v>20</v>
      </c>
      <c r="Z1520" s="38" t="s">
        <v>167</v>
      </c>
      <c r="AA1520" s="38">
        <v>7.7</v>
      </c>
      <c r="AB1520" s="38">
        <v>0.62</v>
      </c>
      <c r="AD1520" s="38" t="s">
        <v>1516</v>
      </c>
      <c r="AE1520" s="38" t="s">
        <v>1216</v>
      </c>
      <c r="AF1520" s="152" t="s">
        <v>1766</v>
      </c>
      <c r="AG1520" s="38" t="s">
        <v>726</v>
      </c>
      <c r="AH1520" s="155" t="s">
        <v>267</v>
      </c>
      <c r="AR1520" s="38" t="s">
        <v>147</v>
      </c>
      <c r="AS1520" s="38">
        <v>3</v>
      </c>
      <c r="AT1520" s="38">
        <v>3</v>
      </c>
      <c r="AU1520" s="38" t="s">
        <v>169</v>
      </c>
      <c r="AW1520" s="38">
        <v>1219</v>
      </c>
      <c r="AX1520" s="38">
        <f>AW1520/54</f>
        <v>22.574074074074073</v>
      </c>
      <c r="BD1520" s="38">
        <v>1285</v>
      </c>
      <c r="BE1520" s="38">
        <v>1360</v>
      </c>
      <c r="BM1520" s="38">
        <v>42.55</v>
      </c>
      <c r="BN1520" s="38">
        <v>50.38</v>
      </c>
      <c r="BO1520" s="38" t="s">
        <v>1223</v>
      </c>
      <c r="DI1520" s="38">
        <v>8.9</v>
      </c>
      <c r="DJ1520" s="38">
        <v>8.09</v>
      </c>
      <c r="DO1520" s="38">
        <v>0.74</v>
      </c>
      <c r="DP1520" s="38">
        <v>0.74</v>
      </c>
      <c r="DQ1520" s="38" t="s">
        <v>1228</v>
      </c>
      <c r="DU1520" s="38">
        <v>9.8000000000000007</v>
      </c>
      <c r="DV1520" s="38">
        <v>40.19</v>
      </c>
      <c r="DW1520" s="38" t="s">
        <v>1229</v>
      </c>
      <c r="EP1520" s="38">
        <v>6.56</v>
      </c>
      <c r="EQ1520" s="38">
        <v>6.56</v>
      </c>
      <c r="FH1520" s="38">
        <v>189.18</v>
      </c>
      <c r="FI1520" s="38">
        <v>264.92</v>
      </c>
      <c r="FJ1520" s="38">
        <v>10.18</v>
      </c>
      <c r="FK1520" s="38">
        <v>12.76</v>
      </c>
      <c r="FR1520" s="38" t="s">
        <v>1131</v>
      </c>
      <c r="FS1520" s="38" t="s">
        <v>1226</v>
      </c>
      <c r="FT1520" s="38">
        <v>70</v>
      </c>
    </row>
    <row r="1521" spans="1:176" s="38" customFormat="1" x14ac:dyDescent="0.25">
      <c r="A1521" s="38">
        <v>70</v>
      </c>
      <c r="B1521" s="38" t="s">
        <v>1212</v>
      </c>
      <c r="C1521" s="38" t="s">
        <v>1213</v>
      </c>
      <c r="D1521" s="38">
        <v>1996</v>
      </c>
      <c r="E1521" s="38">
        <v>1993</v>
      </c>
      <c r="F1521" s="38" t="s">
        <v>1214</v>
      </c>
      <c r="G1521" s="38" t="s">
        <v>1215</v>
      </c>
      <c r="H1521" s="38">
        <v>36.69</v>
      </c>
      <c r="I1521" s="38">
        <v>-121.64</v>
      </c>
      <c r="J1521" s="38">
        <v>11.5</v>
      </c>
      <c r="P1521" s="57">
        <v>1</v>
      </c>
      <c r="Q1521" s="57" t="s">
        <v>994</v>
      </c>
      <c r="R1521" s="57" t="s">
        <v>1220</v>
      </c>
      <c r="S1521" s="57" t="s">
        <v>1571</v>
      </c>
      <c r="T1521" s="57" t="s">
        <v>1571</v>
      </c>
      <c r="U1521" s="57" t="s">
        <v>1571</v>
      </c>
      <c r="V1521" s="57" t="s">
        <v>1911</v>
      </c>
      <c r="W1521" s="38">
        <v>1.46</v>
      </c>
      <c r="X1521" s="38">
        <v>69</v>
      </c>
      <c r="Y1521" s="38">
        <v>20</v>
      </c>
      <c r="Z1521" s="38" t="s">
        <v>167</v>
      </c>
      <c r="AA1521" s="38">
        <v>7.7</v>
      </c>
      <c r="AB1521" s="38">
        <v>0.62</v>
      </c>
      <c r="AD1521" s="38" t="s">
        <v>1516</v>
      </c>
      <c r="AE1521" s="38" t="s">
        <v>1216</v>
      </c>
      <c r="AF1521" s="152" t="s">
        <v>1766</v>
      </c>
      <c r="AG1521" s="38" t="s">
        <v>726</v>
      </c>
      <c r="AH1521" s="155" t="s">
        <v>267</v>
      </c>
      <c r="AR1521" s="38" t="s">
        <v>147</v>
      </c>
      <c r="AS1521" s="38">
        <v>3</v>
      </c>
      <c r="AT1521" s="38">
        <v>3</v>
      </c>
      <c r="AU1521" s="38" t="s">
        <v>169</v>
      </c>
      <c r="AW1521" s="38">
        <v>1962</v>
      </c>
      <c r="AX1521" s="38">
        <f>AW1521/69</f>
        <v>28.434782608695652</v>
      </c>
      <c r="BD1521" s="38">
        <v>5821</v>
      </c>
      <c r="BE1521" s="38">
        <v>6180</v>
      </c>
      <c r="BM1521" s="38">
        <v>18.420000000000002</v>
      </c>
      <c r="BN1521" s="38">
        <v>3.96</v>
      </c>
      <c r="BO1521" s="38" t="s">
        <v>1223</v>
      </c>
      <c r="DI1521" s="38">
        <v>8.3699999999999992</v>
      </c>
      <c r="DJ1521" s="38">
        <v>6.65</v>
      </c>
      <c r="DO1521" s="38">
        <v>3.62</v>
      </c>
      <c r="DP1521" s="38">
        <v>1.46</v>
      </c>
      <c r="DQ1521" s="38" t="s">
        <v>1228</v>
      </c>
      <c r="DU1521" s="38">
        <v>22.13</v>
      </c>
      <c r="DV1521" s="38">
        <v>107.59</v>
      </c>
      <c r="DW1521" s="38" t="s">
        <v>1229</v>
      </c>
      <c r="EP1521" s="38">
        <v>7.56</v>
      </c>
      <c r="EQ1521" s="38">
        <v>8.15</v>
      </c>
      <c r="FH1521" s="38">
        <v>275.08999999999997</v>
      </c>
      <c r="FI1521" s="38">
        <v>236.2</v>
      </c>
      <c r="FJ1521" s="38">
        <v>15.46</v>
      </c>
      <c r="FK1521" s="38">
        <v>19.62</v>
      </c>
      <c r="FR1521" s="38" t="s">
        <v>1132</v>
      </c>
      <c r="FS1521" s="38" t="s">
        <v>1226</v>
      </c>
      <c r="FT1521" s="38">
        <v>70</v>
      </c>
    </row>
    <row r="1522" spans="1:176" s="38" customFormat="1" x14ac:dyDescent="0.25">
      <c r="A1522" s="38">
        <v>70</v>
      </c>
      <c r="B1522" s="38" t="s">
        <v>1212</v>
      </c>
      <c r="C1522" s="38" t="s">
        <v>1213</v>
      </c>
      <c r="D1522" s="38">
        <v>1996</v>
      </c>
      <c r="E1522" s="38">
        <v>1993</v>
      </c>
      <c r="F1522" s="38" t="s">
        <v>1214</v>
      </c>
      <c r="G1522" s="38" t="s">
        <v>1215</v>
      </c>
      <c r="H1522" s="38">
        <v>36.69</v>
      </c>
      <c r="I1522" s="38">
        <v>-121.64</v>
      </c>
      <c r="J1522" s="38">
        <v>11.5</v>
      </c>
      <c r="P1522" s="57">
        <v>1</v>
      </c>
      <c r="Q1522" s="57" t="s">
        <v>994</v>
      </c>
      <c r="R1522" s="57" t="s">
        <v>1221</v>
      </c>
      <c r="S1522" s="57" t="s">
        <v>1571</v>
      </c>
      <c r="T1522" s="57" t="s">
        <v>1571</v>
      </c>
      <c r="U1522" s="57" t="s">
        <v>1571</v>
      </c>
      <c r="V1522" s="57" t="s">
        <v>1911</v>
      </c>
      <c r="W1522" s="38">
        <v>1.46</v>
      </c>
      <c r="X1522" s="38">
        <v>69</v>
      </c>
      <c r="Y1522" s="38">
        <v>20</v>
      </c>
      <c r="Z1522" s="38" t="s">
        <v>167</v>
      </c>
      <c r="AA1522" s="38">
        <v>7.7</v>
      </c>
      <c r="AB1522" s="38">
        <v>0.62</v>
      </c>
      <c r="AD1522" s="38" t="s">
        <v>1516</v>
      </c>
      <c r="AE1522" s="38" t="s">
        <v>1216</v>
      </c>
      <c r="AF1522" s="152" t="s">
        <v>1766</v>
      </c>
      <c r="AG1522" s="38" t="s">
        <v>726</v>
      </c>
      <c r="AH1522" s="155" t="s">
        <v>267</v>
      </c>
      <c r="AR1522" s="38" t="s">
        <v>147</v>
      </c>
      <c r="AS1522" s="38">
        <v>3</v>
      </c>
      <c r="AT1522" s="38">
        <v>3</v>
      </c>
      <c r="AU1522" s="38" t="s">
        <v>169</v>
      </c>
      <c r="AW1522" s="38">
        <v>3640</v>
      </c>
      <c r="AX1522" s="38">
        <f>AW1522/106</f>
        <v>34.339622641509436</v>
      </c>
      <c r="BD1522" s="38">
        <v>8303</v>
      </c>
      <c r="BE1522" s="38">
        <v>9375</v>
      </c>
      <c r="BM1522" s="38">
        <v>15.37</v>
      </c>
      <c r="BN1522" s="38">
        <v>5.74</v>
      </c>
      <c r="BO1522" s="38" t="s">
        <v>1223</v>
      </c>
      <c r="DI1522" s="38">
        <v>7.55</v>
      </c>
      <c r="DJ1522" s="38">
        <v>6.35</v>
      </c>
      <c r="DO1522" s="38">
        <v>3.42</v>
      </c>
      <c r="DP1522" s="38">
        <v>5</v>
      </c>
      <c r="DQ1522" s="38" t="s">
        <v>1228</v>
      </c>
      <c r="DU1522" s="38">
        <v>8.8000000000000007</v>
      </c>
      <c r="DV1522" s="38">
        <v>36.33</v>
      </c>
      <c r="DW1522" s="38" t="s">
        <v>1229</v>
      </c>
      <c r="EP1522" s="38">
        <v>4.8</v>
      </c>
      <c r="EQ1522" s="38">
        <v>12.93</v>
      </c>
      <c r="FH1522" s="38">
        <v>152.24</v>
      </c>
      <c r="FI1522" s="38">
        <v>199.32</v>
      </c>
      <c r="FJ1522" s="38">
        <v>4.99</v>
      </c>
      <c r="FK1522" s="38">
        <v>8</v>
      </c>
      <c r="FR1522" s="38" t="s">
        <v>878</v>
      </c>
      <c r="FS1522" s="38" t="s">
        <v>1226</v>
      </c>
      <c r="FT1522" s="38">
        <v>70</v>
      </c>
    </row>
    <row r="1523" spans="1:176" s="111" customFormat="1" x14ac:dyDescent="0.25">
      <c r="A1523" s="111">
        <v>70</v>
      </c>
      <c r="B1523" s="111" t="s">
        <v>1212</v>
      </c>
      <c r="C1523" s="111" t="s">
        <v>1213</v>
      </c>
      <c r="D1523" s="111">
        <v>1996</v>
      </c>
      <c r="E1523" s="111">
        <v>1992</v>
      </c>
      <c r="F1523" s="111" t="s">
        <v>1214</v>
      </c>
      <c r="G1523" s="111" t="s">
        <v>1215</v>
      </c>
      <c r="H1523" s="111">
        <v>36.69</v>
      </c>
      <c r="I1523" s="111">
        <v>-121.64</v>
      </c>
      <c r="J1523" s="111">
        <v>11.5</v>
      </c>
      <c r="P1523" s="112">
        <v>1</v>
      </c>
      <c r="Q1523" s="112" t="s">
        <v>994</v>
      </c>
      <c r="R1523" s="112"/>
      <c r="S1523" s="57" t="s">
        <v>1571</v>
      </c>
      <c r="T1523" s="57" t="s">
        <v>1571</v>
      </c>
      <c r="U1523" s="57" t="s">
        <v>1571</v>
      </c>
      <c r="V1523" s="57" t="s">
        <v>1911</v>
      </c>
      <c r="W1523" s="111">
        <v>1.46</v>
      </c>
      <c r="X1523" s="111">
        <v>69</v>
      </c>
      <c r="Y1523" s="111">
        <v>20</v>
      </c>
      <c r="Z1523" s="111" t="s">
        <v>167</v>
      </c>
      <c r="AA1523" s="111">
        <v>7.7</v>
      </c>
      <c r="AB1523" s="111">
        <v>0.62</v>
      </c>
      <c r="AD1523" s="38" t="s">
        <v>1516</v>
      </c>
      <c r="AE1523" s="111" t="s">
        <v>1216</v>
      </c>
      <c r="AF1523" s="152" t="s">
        <v>1766</v>
      </c>
      <c r="AG1523" s="111" t="s">
        <v>726</v>
      </c>
      <c r="AH1523" s="159" t="s">
        <v>267</v>
      </c>
      <c r="AR1523" s="111" t="s">
        <v>147</v>
      </c>
      <c r="AS1523" s="111">
        <v>3</v>
      </c>
      <c r="AT1523" s="111">
        <v>3</v>
      </c>
      <c r="AU1523" s="111" t="s">
        <v>169</v>
      </c>
      <c r="AW1523" s="111">
        <v>2.9</v>
      </c>
      <c r="AX1523" s="111">
        <f>AW1523/0.1</f>
        <v>28.999999999999996</v>
      </c>
      <c r="BM1523" s="111">
        <v>20.61</v>
      </c>
      <c r="BN1523" s="111">
        <v>9.26</v>
      </c>
      <c r="BO1523" s="38" t="s">
        <v>1223</v>
      </c>
      <c r="DI1523" s="111">
        <v>11.36</v>
      </c>
      <c r="DJ1523" s="111">
        <v>11.36</v>
      </c>
      <c r="DO1523" s="111">
        <v>0.65</v>
      </c>
      <c r="DP1523" s="111">
        <v>0.52</v>
      </c>
      <c r="DQ1523" s="38" t="s">
        <v>1228</v>
      </c>
      <c r="DU1523" s="111">
        <v>2.82</v>
      </c>
      <c r="DV1523" s="111">
        <v>2.82</v>
      </c>
      <c r="DW1523" s="38" t="s">
        <v>1229</v>
      </c>
      <c r="DX1523" s="38"/>
      <c r="DY1523" s="38"/>
      <c r="DZ1523" s="38"/>
      <c r="EA1523" s="38"/>
      <c r="EB1523" s="38"/>
      <c r="EC1523" s="38"/>
      <c r="ED1523" s="38"/>
      <c r="EE1523" s="38"/>
      <c r="EF1523" s="38"/>
      <c r="EG1523" s="38"/>
      <c r="EH1523" s="38"/>
      <c r="EI1523" s="38"/>
      <c r="EP1523" s="111">
        <v>6.19</v>
      </c>
      <c r="EQ1523" s="111">
        <v>13</v>
      </c>
      <c r="FH1523" s="111">
        <v>74.430000000000007</v>
      </c>
      <c r="FI1523" s="111">
        <v>238.2</v>
      </c>
      <c r="FJ1523" s="111">
        <v>12.3</v>
      </c>
      <c r="FK1523" s="111">
        <v>20.61</v>
      </c>
      <c r="FR1523" s="111" t="s">
        <v>239</v>
      </c>
      <c r="FS1523" s="38" t="s">
        <v>1226</v>
      </c>
      <c r="FT1523" s="111">
        <v>70</v>
      </c>
    </row>
    <row r="1524" spans="1:176" s="111" customFormat="1" x14ac:dyDescent="0.25">
      <c r="A1524" s="111">
        <v>70</v>
      </c>
      <c r="B1524" s="111" t="s">
        <v>1212</v>
      </c>
      <c r="C1524" s="111" t="s">
        <v>1213</v>
      </c>
      <c r="D1524" s="111">
        <v>1996</v>
      </c>
      <c r="E1524" s="111">
        <v>1992</v>
      </c>
      <c r="F1524" s="111" t="s">
        <v>1214</v>
      </c>
      <c r="G1524" s="111" t="s">
        <v>1215</v>
      </c>
      <c r="H1524" s="111">
        <v>36.69</v>
      </c>
      <c r="I1524" s="111">
        <v>-121.64</v>
      </c>
      <c r="J1524" s="111">
        <v>11.5</v>
      </c>
      <c r="P1524" s="112">
        <v>1</v>
      </c>
      <c r="Q1524" s="112" t="s">
        <v>994</v>
      </c>
      <c r="R1524" s="112"/>
      <c r="S1524" s="57" t="s">
        <v>1571</v>
      </c>
      <c r="T1524" s="57" t="s">
        <v>1571</v>
      </c>
      <c r="U1524" s="57" t="s">
        <v>1571</v>
      </c>
      <c r="V1524" s="57" t="s">
        <v>1911</v>
      </c>
      <c r="W1524" s="111">
        <v>1.46</v>
      </c>
      <c r="X1524" s="111">
        <v>69</v>
      </c>
      <c r="Y1524" s="111">
        <v>20</v>
      </c>
      <c r="Z1524" s="111" t="s">
        <v>167</v>
      </c>
      <c r="AA1524" s="111">
        <v>7.7</v>
      </c>
      <c r="AB1524" s="111">
        <v>0.62</v>
      </c>
      <c r="AD1524" s="38" t="s">
        <v>1516</v>
      </c>
      <c r="AE1524" s="111" t="s">
        <v>1216</v>
      </c>
      <c r="AF1524" s="152" t="s">
        <v>1766</v>
      </c>
      <c r="AG1524" s="111" t="s">
        <v>726</v>
      </c>
      <c r="AH1524" s="159" t="s">
        <v>267</v>
      </c>
      <c r="AR1524" s="111" t="s">
        <v>147</v>
      </c>
      <c r="AS1524" s="111">
        <v>3</v>
      </c>
      <c r="AT1524" s="111">
        <v>3</v>
      </c>
      <c r="AU1524" s="111" t="s">
        <v>169</v>
      </c>
      <c r="AW1524" s="111">
        <v>203</v>
      </c>
      <c r="AX1524" s="111">
        <f>AW1524/11.1</f>
        <v>18.288288288288289</v>
      </c>
      <c r="BM1524" s="111">
        <v>22.56</v>
      </c>
      <c r="BN1524" s="111">
        <v>21.76</v>
      </c>
      <c r="BO1524" s="38" t="s">
        <v>1223</v>
      </c>
      <c r="DI1524" s="111">
        <v>9.19</v>
      </c>
      <c r="DJ1524" s="111">
        <v>8.89</v>
      </c>
      <c r="DO1524" s="111">
        <v>1.43</v>
      </c>
      <c r="DP1524" s="111">
        <v>1.43</v>
      </c>
      <c r="DQ1524" s="38" t="s">
        <v>1228</v>
      </c>
      <c r="DU1524" s="111">
        <v>29.28</v>
      </c>
      <c r="DV1524" s="111">
        <v>90.06</v>
      </c>
      <c r="DW1524" s="38" t="s">
        <v>1229</v>
      </c>
      <c r="DX1524" s="38"/>
      <c r="DY1524" s="38"/>
      <c r="DZ1524" s="38"/>
      <c r="EA1524" s="38"/>
      <c r="EB1524" s="38"/>
      <c r="EC1524" s="38"/>
      <c r="ED1524" s="38"/>
      <c r="EE1524" s="38"/>
      <c r="EF1524" s="38"/>
      <c r="EG1524" s="38"/>
      <c r="EH1524" s="38"/>
      <c r="EI1524" s="38"/>
      <c r="EP1524" s="111">
        <v>3.22</v>
      </c>
      <c r="EQ1524" s="111">
        <v>7.64</v>
      </c>
      <c r="FH1524" s="111">
        <v>103.08</v>
      </c>
      <c r="FI1524" s="111">
        <v>289.37</v>
      </c>
      <c r="FJ1524" s="111">
        <v>4.41</v>
      </c>
      <c r="FK1524" s="111">
        <v>17.3</v>
      </c>
      <c r="FR1524" s="111" t="s">
        <v>1015</v>
      </c>
      <c r="FS1524" s="38" t="s">
        <v>1226</v>
      </c>
      <c r="FT1524" s="111">
        <v>70</v>
      </c>
    </row>
    <row r="1525" spans="1:176" s="111" customFormat="1" x14ac:dyDescent="0.25">
      <c r="A1525" s="111">
        <v>70</v>
      </c>
      <c r="B1525" s="111" t="s">
        <v>1212</v>
      </c>
      <c r="C1525" s="111" t="s">
        <v>1213</v>
      </c>
      <c r="D1525" s="111">
        <v>1996</v>
      </c>
      <c r="E1525" s="111">
        <v>1993</v>
      </c>
      <c r="F1525" s="111" t="s">
        <v>1214</v>
      </c>
      <c r="G1525" s="111" t="s">
        <v>1215</v>
      </c>
      <c r="H1525" s="111">
        <v>36.69</v>
      </c>
      <c r="I1525" s="111">
        <v>-121.64</v>
      </c>
      <c r="J1525" s="111">
        <v>11.5</v>
      </c>
      <c r="P1525" s="112">
        <v>1</v>
      </c>
      <c r="Q1525" s="112" t="s">
        <v>994</v>
      </c>
      <c r="R1525" s="112"/>
      <c r="S1525" s="57" t="s">
        <v>1571</v>
      </c>
      <c r="T1525" s="57" t="s">
        <v>1571</v>
      </c>
      <c r="U1525" s="57" t="s">
        <v>1571</v>
      </c>
      <c r="V1525" s="57" t="s">
        <v>1911</v>
      </c>
      <c r="W1525" s="111">
        <v>1.46</v>
      </c>
      <c r="X1525" s="111">
        <v>69</v>
      </c>
      <c r="Y1525" s="111">
        <v>20</v>
      </c>
      <c r="Z1525" s="111" t="s">
        <v>167</v>
      </c>
      <c r="AA1525" s="111">
        <v>7.7</v>
      </c>
      <c r="AB1525" s="111">
        <v>0.62</v>
      </c>
      <c r="AD1525" s="38" t="s">
        <v>1516</v>
      </c>
      <c r="AE1525" s="111" t="s">
        <v>1216</v>
      </c>
      <c r="AF1525" s="152" t="s">
        <v>1766</v>
      </c>
      <c r="AG1525" s="111" t="s">
        <v>726</v>
      </c>
      <c r="AH1525" s="159" t="s">
        <v>267</v>
      </c>
      <c r="AR1525" s="111" t="s">
        <v>147</v>
      </c>
      <c r="AS1525" s="111">
        <v>3</v>
      </c>
      <c r="AT1525" s="111">
        <v>3</v>
      </c>
      <c r="AU1525" s="111" t="s">
        <v>169</v>
      </c>
      <c r="AW1525" s="111">
        <v>1219</v>
      </c>
      <c r="AX1525" s="111">
        <f>AW1525/54</f>
        <v>22.574074074074073</v>
      </c>
      <c r="BM1525" s="111">
        <v>44.05</v>
      </c>
      <c r="BN1525" s="111">
        <v>35.81</v>
      </c>
      <c r="BO1525" s="38" t="s">
        <v>1223</v>
      </c>
      <c r="DI1525" s="111">
        <v>8.2799999999999994</v>
      </c>
      <c r="DJ1525" s="111">
        <v>7.76</v>
      </c>
      <c r="DO1525" s="111">
        <v>9.02</v>
      </c>
      <c r="DP1525" s="111">
        <v>8.1</v>
      </c>
      <c r="DQ1525" s="38" t="s">
        <v>1228</v>
      </c>
      <c r="DU1525" s="111">
        <v>153.53</v>
      </c>
      <c r="DV1525" s="111">
        <v>217.16</v>
      </c>
      <c r="DW1525" s="38" t="s">
        <v>1229</v>
      </c>
      <c r="DX1525" s="38"/>
      <c r="DY1525" s="38"/>
      <c r="DZ1525" s="38"/>
      <c r="EA1525" s="38"/>
      <c r="EB1525" s="38"/>
      <c r="EC1525" s="38"/>
      <c r="ED1525" s="38"/>
      <c r="EE1525" s="38"/>
      <c r="EF1525" s="38"/>
      <c r="EG1525" s="38"/>
      <c r="EH1525" s="38"/>
      <c r="EI1525" s="38"/>
      <c r="EP1525" s="111">
        <v>5.32</v>
      </c>
      <c r="EQ1525" s="111">
        <v>6.99</v>
      </c>
      <c r="FH1525" s="111">
        <v>49.83</v>
      </c>
      <c r="FI1525" s="111">
        <v>162.41999999999999</v>
      </c>
      <c r="FJ1525" s="111">
        <v>11.14</v>
      </c>
      <c r="FK1525" s="111">
        <v>15.29</v>
      </c>
      <c r="FR1525" s="111" t="s">
        <v>1225</v>
      </c>
      <c r="FS1525" s="38" t="s">
        <v>1226</v>
      </c>
      <c r="FT1525" s="111">
        <v>70</v>
      </c>
    </row>
    <row r="1526" spans="1:176" s="111" customFormat="1" x14ac:dyDescent="0.25">
      <c r="A1526" s="111">
        <v>70</v>
      </c>
      <c r="B1526" s="111" t="s">
        <v>1212</v>
      </c>
      <c r="C1526" s="111" t="s">
        <v>1213</v>
      </c>
      <c r="D1526" s="111">
        <v>1996</v>
      </c>
      <c r="E1526" s="111">
        <v>1993</v>
      </c>
      <c r="F1526" s="111" t="s">
        <v>1214</v>
      </c>
      <c r="G1526" s="111" t="s">
        <v>1215</v>
      </c>
      <c r="H1526" s="111">
        <v>36.69</v>
      </c>
      <c r="I1526" s="111">
        <v>-121.64</v>
      </c>
      <c r="J1526" s="111">
        <v>11.5</v>
      </c>
      <c r="P1526" s="112">
        <v>1</v>
      </c>
      <c r="Q1526" s="112" t="s">
        <v>994</v>
      </c>
      <c r="R1526" s="112"/>
      <c r="S1526" s="57" t="s">
        <v>1571</v>
      </c>
      <c r="T1526" s="57" t="s">
        <v>1571</v>
      </c>
      <c r="U1526" s="57" t="s">
        <v>1571</v>
      </c>
      <c r="V1526" s="57" t="s">
        <v>1911</v>
      </c>
      <c r="W1526" s="111">
        <v>1.46</v>
      </c>
      <c r="X1526" s="111">
        <v>69</v>
      </c>
      <c r="Y1526" s="111">
        <v>20</v>
      </c>
      <c r="Z1526" s="111" t="s">
        <v>167</v>
      </c>
      <c r="AA1526" s="111">
        <v>7.7</v>
      </c>
      <c r="AB1526" s="111">
        <v>0.62</v>
      </c>
      <c r="AD1526" s="38" t="s">
        <v>1516</v>
      </c>
      <c r="AE1526" s="111" t="s">
        <v>1216</v>
      </c>
      <c r="AF1526" s="152" t="s">
        <v>1766</v>
      </c>
      <c r="AG1526" s="111" t="s">
        <v>726</v>
      </c>
      <c r="AH1526" s="159" t="s">
        <v>267</v>
      </c>
      <c r="AR1526" s="111" t="s">
        <v>147</v>
      </c>
      <c r="AS1526" s="111">
        <v>3</v>
      </c>
      <c r="AT1526" s="111">
        <v>3</v>
      </c>
      <c r="AU1526" s="111" t="s">
        <v>169</v>
      </c>
      <c r="AW1526" s="111">
        <v>1962</v>
      </c>
      <c r="AX1526" s="111">
        <f>AW1526/69</f>
        <v>28.434782608695652</v>
      </c>
      <c r="BM1526" s="111">
        <v>57.76</v>
      </c>
      <c r="BN1526" s="111">
        <v>23.09</v>
      </c>
      <c r="BO1526" s="38" t="s">
        <v>1223</v>
      </c>
      <c r="DI1526" s="111">
        <v>7.15</v>
      </c>
      <c r="DJ1526" s="111">
        <v>7.97</v>
      </c>
      <c r="DO1526" s="111">
        <v>15.1</v>
      </c>
      <c r="DP1526" s="111">
        <v>7.63</v>
      </c>
      <c r="DQ1526" s="38" t="s">
        <v>1228</v>
      </c>
      <c r="DU1526" s="111">
        <v>46.96</v>
      </c>
      <c r="DV1526" s="111">
        <v>75.45</v>
      </c>
      <c r="DW1526" s="38" t="s">
        <v>1229</v>
      </c>
      <c r="DX1526" s="38"/>
      <c r="DY1526" s="38"/>
      <c r="DZ1526" s="38"/>
      <c r="EA1526" s="38"/>
      <c r="EB1526" s="38"/>
      <c r="EC1526" s="38"/>
      <c r="ED1526" s="38"/>
      <c r="EE1526" s="38"/>
      <c r="EF1526" s="38"/>
      <c r="EG1526" s="38"/>
      <c r="EH1526" s="38"/>
      <c r="EI1526" s="38"/>
      <c r="EP1526" s="111">
        <v>7.05</v>
      </c>
      <c r="EQ1526" s="111">
        <v>4.3</v>
      </c>
      <c r="FH1526" s="111">
        <v>117.26</v>
      </c>
      <c r="FI1526" s="111">
        <v>244.18</v>
      </c>
      <c r="FJ1526" s="111">
        <v>6.37</v>
      </c>
      <c r="FK1526" s="111">
        <v>15.97</v>
      </c>
      <c r="FR1526" s="111" t="s">
        <v>1225</v>
      </c>
      <c r="FS1526" s="38" t="s">
        <v>1226</v>
      </c>
      <c r="FT1526" s="111">
        <v>70</v>
      </c>
    </row>
    <row r="1527" spans="1:176" s="111" customFormat="1" x14ac:dyDescent="0.25">
      <c r="A1527" s="111">
        <v>70</v>
      </c>
      <c r="B1527" s="111" t="s">
        <v>1212</v>
      </c>
      <c r="C1527" s="111" t="s">
        <v>1213</v>
      </c>
      <c r="D1527" s="111">
        <v>1996</v>
      </c>
      <c r="E1527" s="111">
        <v>1993</v>
      </c>
      <c r="F1527" s="111" t="s">
        <v>1214</v>
      </c>
      <c r="G1527" s="111" t="s">
        <v>1215</v>
      </c>
      <c r="H1527" s="111">
        <v>36.69</v>
      </c>
      <c r="I1527" s="111">
        <v>-121.64</v>
      </c>
      <c r="J1527" s="111">
        <v>11.5</v>
      </c>
      <c r="P1527" s="112">
        <v>1</v>
      </c>
      <c r="Q1527" s="112" t="s">
        <v>994</v>
      </c>
      <c r="R1527" s="112"/>
      <c r="S1527" s="57" t="s">
        <v>1571</v>
      </c>
      <c r="T1527" s="57" t="s">
        <v>1571</v>
      </c>
      <c r="U1527" s="57" t="s">
        <v>1571</v>
      </c>
      <c r="V1527" s="57" t="s">
        <v>1911</v>
      </c>
      <c r="W1527" s="111">
        <v>1.46</v>
      </c>
      <c r="X1527" s="111">
        <v>69</v>
      </c>
      <c r="Y1527" s="111">
        <v>20</v>
      </c>
      <c r="Z1527" s="111" t="s">
        <v>167</v>
      </c>
      <c r="AA1527" s="111">
        <v>7.7</v>
      </c>
      <c r="AB1527" s="111">
        <v>0.62</v>
      </c>
      <c r="AD1527" s="38" t="s">
        <v>1516</v>
      </c>
      <c r="AE1527" s="111" t="s">
        <v>1216</v>
      </c>
      <c r="AF1527" s="152" t="s">
        <v>1766</v>
      </c>
      <c r="AG1527" s="111" t="s">
        <v>726</v>
      </c>
      <c r="AH1527" s="159" t="s">
        <v>267</v>
      </c>
      <c r="AR1527" s="111" t="s">
        <v>147</v>
      </c>
      <c r="AS1527" s="111">
        <v>3</v>
      </c>
      <c r="AT1527" s="111">
        <v>3</v>
      </c>
      <c r="AU1527" s="111" t="s">
        <v>169</v>
      </c>
      <c r="AW1527" s="111">
        <v>3640</v>
      </c>
      <c r="AX1527" s="111">
        <f>AW1527/106</f>
        <v>34.339622641509436</v>
      </c>
      <c r="BM1527" s="111">
        <v>70.599999999999994</v>
      </c>
      <c r="BN1527" s="111">
        <v>70.31</v>
      </c>
      <c r="BO1527" s="38" t="s">
        <v>1223</v>
      </c>
      <c r="DI1527" s="111">
        <v>5.56</v>
      </c>
      <c r="DJ1527" s="111">
        <v>5.78</v>
      </c>
      <c r="DO1527" s="111">
        <v>8.41</v>
      </c>
      <c r="DP1527" s="111">
        <v>7.1</v>
      </c>
      <c r="DQ1527" s="38" t="s">
        <v>1228</v>
      </c>
      <c r="DU1527" s="111">
        <v>42.08</v>
      </c>
      <c r="DV1527" s="111">
        <v>33.54</v>
      </c>
      <c r="DW1527" s="38" t="s">
        <v>1229</v>
      </c>
      <c r="DX1527" s="38"/>
      <c r="DY1527" s="38"/>
      <c r="DZ1527" s="38"/>
      <c r="EA1527" s="38"/>
      <c r="EB1527" s="38"/>
      <c r="EC1527" s="38"/>
      <c r="ED1527" s="38"/>
      <c r="EE1527" s="38"/>
      <c r="EF1527" s="38"/>
      <c r="EG1527" s="38"/>
      <c r="EH1527" s="38"/>
      <c r="EI1527" s="38"/>
      <c r="EP1527" s="111">
        <v>3.86</v>
      </c>
      <c r="EQ1527" s="111">
        <v>3.86</v>
      </c>
      <c r="FH1527" s="111">
        <v>119.25</v>
      </c>
      <c r="FI1527" s="111">
        <v>190.9</v>
      </c>
      <c r="FJ1527" s="111">
        <v>11.22</v>
      </c>
      <c r="FK1527" s="111">
        <v>12.94</v>
      </c>
      <c r="FR1527" s="111" t="s">
        <v>879</v>
      </c>
      <c r="FS1527" s="38" t="s">
        <v>1226</v>
      </c>
      <c r="FT1527" s="111">
        <v>70</v>
      </c>
    </row>
    <row r="1528" spans="1:176" s="31" customFormat="1" x14ac:dyDescent="0.25">
      <c r="A1528" s="31">
        <v>70</v>
      </c>
      <c r="B1528" s="31" t="s">
        <v>1212</v>
      </c>
      <c r="C1528" s="31" t="s">
        <v>1213</v>
      </c>
      <c r="D1528" s="31">
        <v>1996</v>
      </c>
      <c r="E1528" s="31">
        <v>1992</v>
      </c>
      <c r="F1528" s="31" t="s">
        <v>1214</v>
      </c>
      <c r="G1528" s="31" t="s">
        <v>1215</v>
      </c>
      <c r="H1528" s="31">
        <v>36.69</v>
      </c>
      <c r="I1528" s="31">
        <v>-121.64</v>
      </c>
      <c r="J1528" s="31">
        <v>11.5</v>
      </c>
      <c r="P1528" s="56">
        <v>1</v>
      </c>
      <c r="Q1528" s="56" t="s">
        <v>994</v>
      </c>
      <c r="R1528" s="56" t="s">
        <v>1217</v>
      </c>
      <c r="S1528" s="56" t="s">
        <v>1571</v>
      </c>
      <c r="T1528" s="56" t="s">
        <v>1571</v>
      </c>
      <c r="U1528" s="56" t="s">
        <v>1571</v>
      </c>
      <c r="V1528" s="56" t="s">
        <v>1911</v>
      </c>
      <c r="W1528" s="31">
        <v>1.46</v>
      </c>
      <c r="X1528" s="31">
        <v>69</v>
      </c>
      <c r="Y1528" s="31">
        <v>20</v>
      </c>
      <c r="Z1528" s="31" t="s">
        <v>167</v>
      </c>
      <c r="AA1528" s="31">
        <v>7.7</v>
      </c>
      <c r="AB1528" s="31">
        <v>0.62</v>
      </c>
      <c r="AD1528" s="31" t="s">
        <v>1516</v>
      </c>
      <c r="AE1528" s="31" t="s">
        <v>159</v>
      </c>
      <c r="AF1528" s="152" t="s">
        <v>159</v>
      </c>
      <c r="AG1528" s="31" t="s">
        <v>726</v>
      </c>
      <c r="AH1528" s="155" t="s">
        <v>267</v>
      </c>
      <c r="AR1528" s="31" t="s">
        <v>147</v>
      </c>
      <c r="AS1528" s="31">
        <v>3</v>
      </c>
      <c r="AT1528" s="31">
        <v>3</v>
      </c>
      <c r="AU1528" s="31" t="s">
        <v>169</v>
      </c>
      <c r="AW1528" s="31">
        <v>8.1</v>
      </c>
      <c r="AX1528" s="31">
        <f>AW1528/0.5</f>
        <v>16.2</v>
      </c>
      <c r="BD1528" s="31">
        <v>3</v>
      </c>
      <c r="BE1528" s="31">
        <v>4</v>
      </c>
      <c r="BM1528" s="31">
        <v>67.489999999999995</v>
      </c>
      <c r="BN1528" s="31">
        <v>35.72</v>
      </c>
      <c r="BO1528" s="31" t="s">
        <v>1223</v>
      </c>
      <c r="DI1528" s="31">
        <v>4.82</v>
      </c>
      <c r="DJ1528" s="31">
        <v>6.39</v>
      </c>
      <c r="DO1528" s="31">
        <v>0.75</v>
      </c>
      <c r="DP1528" s="31">
        <v>6.06</v>
      </c>
      <c r="DQ1528" s="31" t="s">
        <v>1228</v>
      </c>
      <c r="DU1528" s="31">
        <v>1.38</v>
      </c>
      <c r="DV1528" s="31">
        <v>4.2300000000000004</v>
      </c>
      <c r="DW1528" s="31" t="s">
        <v>1229</v>
      </c>
      <c r="EP1528" s="31">
        <v>6.56</v>
      </c>
      <c r="EQ1528" s="31">
        <v>7.72</v>
      </c>
      <c r="FH1528" s="31">
        <v>86.95</v>
      </c>
      <c r="FI1528" s="31">
        <v>86.95</v>
      </c>
      <c r="FJ1528" s="31">
        <v>10.52</v>
      </c>
      <c r="FK1528" s="31">
        <v>10.52</v>
      </c>
      <c r="FR1528" s="31" t="s">
        <v>879</v>
      </c>
      <c r="FS1528" s="31" t="s">
        <v>1226</v>
      </c>
      <c r="FT1528" s="31">
        <v>70</v>
      </c>
    </row>
    <row r="1529" spans="1:176" s="31" customFormat="1" x14ac:dyDescent="0.25">
      <c r="A1529" s="31">
        <v>70</v>
      </c>
      <c r="B1529" s="31" t="s">
        <v>1212</v>
      </c>
      <c r="C1529" s="31" t="s">
        <v>1213</v>
      </c>
      <c r="D1529" s="31">
        <v>1996</v>
      </c>
      <c r="E1529" s="31">
        <v>1992</v>
      </c>
      <c r="F1529" s="31" t="s">
        <v>1214</v>
      </c>
      <c r="G1529" s="31" t="s">
        <v>1215</v>
      </c>
      <c r="H1529" s="31">
        <v>36.69</v>
      </c>
      <c r="I1529" s="31">
        <v>-121.64</v>
      </c>
      <c r="J1529" s="31">
        <v>11.5</v>
      </c>
      <c r="P1529" s="56">
        <v>1</v>
      </c>
      <c r="Q1529" s="56" t="s">
        <v>994</v>
      </c>
      <c r="R1529" s="56" t="s">
        <v>1218</v>
      </c>
      <c r="S1529" s="56" t="s">
        <v>1571</v>
      </c>
      <c r="T1529" s="56" t="s">
        <v>1571</v>
      </c>
      <c r="U1529" s="56" t="s">
        <v>1571</v>
      </c>
      <c r="V1529" s="56" t="s">
        <v>1911</v>
      </c>
      <c r="W1529" s="31">
        <v>1.46</v>
      </c>
      <c r="X1529" s="31">
        <v>69</v>
      </c>
      <c r="Y1529" s="31">
        <v>20</v>
      </c>
      <c r="Z1529" s="31" t="s">
        <v>167</v>
      </c>
      <c r="AA1529" s="31">
        <v>7.7</v>
      </c>
      <c r="AB1529" s="31">
        <v>0.62</v>
      </c>
      <c r="AD1529" s="31" t="s">
        <v>1516</v>
      </c>
      <c r="AE1529" s="31" t="s">
        <v>159</v>
      </c>
      <c r="AF1529" s="152" t="s">
        <v>159</v>
      </c>
      <c r="AG1529" s="31" t="s">
        <v>726</v>
      </c>
      <c r="AH1529" s="155" t="s">
        <v>267</v>
      </c>
      <c r="AR1529" s="31" t="s">
        <v>147</v>
      </c>
      <c r="AS1529" s="31">
        <v>3</v>
      </c>
      <c r="AT1529" s="31">
        <v>3</v>
      </c>
      <c r="AU1529" s="31" t="s">
        <v>169</v>
      </c>
      <c r="AW1529" s="31">
        <v>347</v>
      </c>
      <c r="AX1529" s="31">
        <f>AW1529/21</f>
        <v>16.523809523809526</v>
      </c>
      <c r="BD1529" s="31">
        <v>123</v>
      </c>
      <c r="BE1529" s="31">
        <v>115</v>
      </c>
      <c r="BM1529" s="31">
        <v>80.33</v>
      </c>
      <c r="BN1529" s="31">
        <v>84.17</v>
      </c>
      <c r="BO1529" s="31" t="s">
        <v>1223</v>
      </c>
      <c r="DI1529" s="31">
        <v>11.17</v>
      </c>
      <c r="DJ1529" s="31">
        <v>12.06</v>
      </c>
      <c r="DO1529" s="31">
        <v>5.86</v>
      </c>
      <c r="DP1529" s="31">
        <v>1.4</v>
      </c>
      <c r="DQ1529" s="31" t="s">
        <v>1228</v>
      </c>
      <c r="DU1529" s="31">
        <v>10.8</v>
      </c>
      <c r="DV1529" s="31">
        <v>9.86</v>
      </c>
      <c r="DW1529" s="31" t="s">
        <v>1229</v>
      </c>
      <c r="EP1529" s="31">
        <v>12.79</v>
      </c>
      <c r="EQ1529" s="31">
        <v>8.59</v>
      </c>
      <c r="FH1529" s="31">
        <v>203.57</v>
      </c>
      <c r="FI1529" s="31">
        <v>154.43</v>
      </c>
      <c r="FJ1529" s="31">
        <v>19.37</v>
      </c>
      <c r="FK1529" s="31">
        <v>19.23</v>
      </c>
      <c r="FR1529" s="31" t="s">
        <v>1014</v>
      </c>
      <c r="FS1529" s="31" t="s">
        <v>1226</v>
      </c>
      <c r="FT1529" s="31">
        <v>70</v>
      </c>
    </row>
    <row r="1530" spans="1:176" s="31" customFormat="1" x14ac:dyDescent="0.25">
      <c r="A1530" s="31">
        <v>70</v>
      </c>
      <c r="B1530" s="31" t="s">
        <v>1212</v>
      </c>
      <c r="C1530" s="31" t="s">
        <v>1213</v>
      </c>
      <c r="D1530" s="31">
        <v>1996</v>
      </c>
      <c r="E1530" s="31">
        <v>1993</v>
      </c>
      <c r="F1530" s="31" t="s">
        <v>1214</v>
      </c>
      <c r="G1530" s="31" t="s">
        <v>1215</v>
      </c>
      <c r="H1530" s="31">
        <v>36.69</v>
      </c>
      <c r="I1530" s="31">
        <v>-121.64</v>
      </c>
      <c r="J1530" s="31">
        <v>11.5</v>
      </c>
      <c r="P1530" s="56">
        <v>1</v>
      </c>
      <c r="Q1530" s="56" t="s">
        <v>994</v>
      </c>
      <c r="R1530" s="56" t="s">
        <v>1219</v>
      </c>
      <c r="S1530" s="56" t="s">
        <v>1571</v>
      </c>
      <c r="T1530" s="56" t="s">
        <v>1571</v>
      </c>
      <c r="U1530" s="56" t="s">
        <v>1571</v>
      </c>
      <c r="V1530" s="56" t="s">
        <v>1911</v>
      </c>
      <c r="W1530" s="31">
        <v>1.46</v>
      </c>
      <c r="X1530" s="31">
        <v>69</v>
      </c>
      <c r="Y1530" s="31">
        <v>20</v>
      </c>
      <c r="Z1530" s="31" t="s">
        <v>167</v>
      </c>
      <c r="AA1530" s="31">
        <v>7.7</v>
      </c>
      <c r="AB1530" s="31">
        <v>0.62</v>
      </c>
      <c r="AD1530" s="31" t="s">
        <v>1516</v>
      </c>
      <c r="AE1530" s="31" t="s">
        <v>159</v>
      </c>
      <c r="AF1530" s="152" t="s">
        <v>159</v>
      </c>
      <c r="AG1530" s="31" t="s">
        <v>726</v>
      </c>
      <c r="AH1530" s="155" t="s">
        <v>267</v>
      </c>
      <c r="AR1530" s="31" t="s">
        <v>147</v>
      </c>
      <c r="AS1530" s="31">
        <v>3</v>
      </c>
      <c r="AT1530" s="31">
        <v>3</v>
      </c>
      <c r="AU1530" s="31" t="s">
        <v>169</v>
      </c>
      <c r="AW1530" s="31">
        <v>1399</v>
      </c>
      <c r="AX1530" s="31">
        <f>AW1530/59</f>
        <v>23.711864406779661</v>
      </c>
      <c r="BD1530" s="31">
        <v>1285</v>
      </c>
      <c r="BE1530" s="31">
        <v>1215</v>
      </c>
      <c r="BM1530" s="31">
        <v>42.55</v>
      </c>
      <c r="BN1530" s="31">
        <v>38.950000000000003</v>
      </c>
      <c r="BO1530" s="31" t="s">
        <v>1223</v>
      </c>
      <c r="DI1530" s="31">
        <v>8.9</v>
      </c>
      <c r="DJ1530" s="31">
        <v>7.34</v>
      </c>
      <c r="DO1530" s="31">
        <v>0.74</v>
      </c>
      <c r="DP1530" s="31">
        <v>0.74</v>
      </c>
      <c r="DQ1530" s="31" t="s">
        <v>1228</v>
      </c>
      <c r="DU1530" s="31">
        <v>9.8000000000000007</v>
      </c>
      <c r="DV1530" s="31">
        <v>47.8</v>
      </c>
      <c r="DW1530" s="31" t="s">
        <v>1229</v>
      </c>
      <c r="EP1530" s="31">
        <v>6.56</v>
      </c>
      <c r="EQ1530" s="31">
        <v>9.5299999999999994</v>
      </c>
      <c r="FH1530" s="31">
        <v>189.18</v>
      </c>
      <c r="FI1530" s="31">
        <v>299.72000000000003</v>
      </c>
      <c r="FJ1530" s="31">
        <v>10.18</v>
      </c>
      <c r="FK1530" s="31">
        <v>12.76</v>
      </c>
      <c r="FR1530" s="31" t="s">
        <v>1131</v>
      </c>
      <c r="FS1530" s="31" t="s">
        <v>1226</v>
      </c>
      <c r="FT1530" s="31">
        <v>70</v>
      </c>
    </row>
    <row r="1531" spans="1:176" s="31" customFormat="1" x14ac:dyDescent="0.25">
      <c r="A1531" s="31">
        <v>70</v>
      </c>
      <c r="B1531" s="31" t="s">
        <v>1212</v>
      </c>
      <c r="C1531" s="31" t="s">
        <v>1213</v>
      </c>
      <c r="D1531" s="31">
        <v>1996</v>
      </c>
      <c r="E1531" s="31">
        <v>1993</v>
      </c>
      <c r="F1531" s="31" t="s">
        <v>1214</v>
      </c>
      <c r="G1531" s="31" t="s">
        <v>1215</v>
      </c>
      <c r="H1531" s="31">
        <v>36.69</v>
      </c>
      <c r="I1531" s="31">
        <v>-121.64</v>
      </c>
      <c r="J1531" s="31">
        <v>11.5</v>
      </c>
      <c r="P1531" s="56">
        <v>1</v>
      </c>
      <c r="Q1531" s="56" t="s">
        <v>994</v>
      </c>
      <c r="R1531" s="56" t="s">
        <v>1220</v>
      </c>
      <c r="S1531" s="56" t="s">
        <v>1571</v>
      </c>
      <c r="T1531" s="56" t="s">
        <v>1571</v>
      </c>
      <c r="U1531" s="56" t="s">
        <v>1571</v>
      </c>
      <c r="V1531" s="56" t="s">
        <v>1911</v>
      </c>
      <c r="W1531" s="31">
        <v>1.46</v>
      </c>
      <c r="X1531" s="31">
        <v>69</v>
      </c>
      <c r="Y1531" s="31">
        <v>20</v>
      </c>
      <c r="Z1531" s="31" t="s">
        <v>167</v>
      </c>
      <c r="AA1531" s="31">
        <v>7.7</v>
      </c>
      <c r="AB1531" s="31">
        <v>0.62</v>
      </c>
      <c r="AD1531" s="31" t="s">
        <v>1516</v>
      </c>
      <c r="AE1531" s="31" t="s">
        <v>159</v>
      </c>
      <c r="AF1531" s="152" t="s">
        <v>159</v>
      </c>
      <c r="AG1531" s="31" t="s">
        <v>726</v>
      </c>
      <c r="AH1531" s="155" t="s">
        <v>267</v>
      </c>
      <c r="AR1531" s="31" t="s">
        <v>147</v>
      </c>
      <c r="AS1531" s="31">
        <v>3</v>
      </c>
      <c r="AT1531" s="31">
        <v>3</v>
      </c>
      <c r="AU1531" s="31" t="s">
        <v>169</v>
      </c>
      <c r="AW1531" s="31">
        <v>2151</v>
      </c>
      <c r="AX1531" s="31">
        <f>AW1531/78</f>
        <v>27.576923076923077</v>
      </c>
      <c r="BD1531" s="31">
        <v>5821</v>
      </c>
      <c r="BE1531" s="31">
        <v>5902</v>
      </c>
      <c r="BM1531" s="31">
        <v>18.420000000000002</v>
      </c>
      <c r="BN1531" s="31">
        <v>1.34</v>
      </c>
      <c r="BO1531" s="31" t="s">
        <v>1223</v>
      </c>
      <c r="DI1531" s="31">
        <v>8.3699999999999992</v>
      </c>
      <c r="DJ1531" s="31">
        <v>6.13</v>
      </c>
      <c r="DO1531" s="31">
        <v>3.62</v>
      </c>
      <c r="DP1531" s="31">
        <v>6.9</v>
      </c>
      <c r="DQ1531" s="31" t="s">
        <v>1228</v>
      </c>
      <c r="DU1531" s="31">
        <v>22.13</v>
      </c>
      <c r="DV1531" s="31">
        <v>56.3</v>
      </c>
      <c r="DW1531" s="31" t="s">
        <v>1229</v>
      </c>
      <c r="EP1531" s="31">
        <v>7.56</v>
      </c>
      <c r="EQ1531" s="31">
        <v>7.57</v>
      </c>
      <c r="FH1531" s="31">
        <v>275.08999999999997</v>
      </c>
      <c r="FI1531" s="31">
        <v>150.22</v>
      </c>
      <c r="FJ1531" s="31">
        <v>15.46</v>
      </c>
      <c r="FK1531" s="31">
        <v>19.62</v>
      </c>
      <c r="FR1531" s="31" t="s">
        <v>1132</v>
      </c>
      <c r="FS1531" s="31" t="s">
        <v>1226</v>
      </c>
      <c r="FT1531" s="31">
        <v>70</v>
      </c>
    </row>
    <row r="1532" spans="1:176" s="31" customFormat="1" x14ac:dyDescent="0.25">
      <c r="A1532" s="31">
        <v>70</v>
      </c>
      <c r="B1532" s="31" t="s">
        <v>1212</v>
      </c>
      <c r="C1532" s="31" t="s">
        <v>1213</v>
      </c>
      <c r="D1532" s="31">
        <v>1996</v>
      </c>
      <c r="E1532" s="31">
        <v>1993</v>
      </c>
      <c r="F1532" s="31" t="s">
        <v>1214</v>
      </c>
      <c r="G1532" s="31" t="s">
        <v>1215</v>
      </c>
      <c r="H1532" s="31">
        <v>36.69</v>
      </c>
      <c r="I1532" s="31">
        <v>-121.64</v>
      </c>
      <c r="J1532" s="31">
        <v>11.5</v>
      </c>
      <c r="P1532" s="56">
        <v>1</v>
      </c>
      <c r="Q1532" s="56" t="s">
        <v>994</v>
      </c>
      <c r="R1532" s="56" t="s">
        <v>1221</v>
      </c>
      <c r="S1532" s="56" t="s">
        <v>1571</v>
      </c>
      <c r="T1532" s="56" t="s">
        <v>1571</v>
      </c>
      <c r="U1532" s="56" t="s">
        <v>1571</v>
      </c>
      <c r="V1532" s="56" t="s">
        <v>1911</v>
      </c>
      <c r="W1532" s="31">
        <v>1.46</v>
      </c>
      <c r="X1532" s="31">
        <v>69</v>
      </c>
      <c r="Y1532" s="31">
        <v>20</v>
      </c>
      <c r="Z1532" s="31" t="s">
        <v>167</v>
      </c>
      <c r="AA1532" s="31">
        <v>7.7</v>
      </c>
      <c r="AB1532" s="31">
        <v>0.62</v>
      </c>
      <c r="AD1532" s="31" t="s">
        <v>1516</v>
      </c>
      <c r="AE1532" s="31" t="s">
        <v>159</v>
      </c>
      <c r="AF1532" s="152" t="s">
        <v>159</v>
      </c>
      <c r="AG1532" s="31" t="s">
        <v>726</v>
      </c>
      <c r="AH1532" s="155" t="s">
        <v>267</v>
      </c>
      <c r="AR1532" s="31" t="s">
        <v>147</v>
      </c>
      <c r="AS1532" s="31">
        <v>3</v>
      </c>
      <c r="AT1532" s="31">
        <v>3</v>
      </c>
      <c r="AU1532" s="31" t="s">
        <v>169</v>
      </c>
      <c r="AW1532" s="31">
        <v>3727</v>
      </c>
      <c r="AX1532" s="31">
        <f>AW1532/136</f>
        <v>27.404411764705884</v>
      </c>
      <c r="BD1532" s="31">
        <v>8303</v>
      </c>
      <c r="BE1532" s="31">
        <v>8672</v>
      </c>
      <c r="BM1532" s="31">
        <v>15.37</v>
      </c>
      <c r="BN1532" s="31">
        <v>7.27</v>
      </c>
      <c r="BO1532" s="31" t="s">
        <v>1223</v>
      </c>
      <c r="DI1532" s="31">
        <v>7.55</v>
      </c>
      <c r="DJ1532" s="31">
        <v>5.75</v>
      </c>
      <c r="DO1532" s="31">
        <v>3.42</v>
      </c>
      <c r="DP1532" s="31">
        <v>9.4499999999999993</v>
      </c>
      <c r="DQ1532" s="31" t="s">
        <v>1228</v>
      </c>
      <c r="DU1532" s="31">
        <v>8.8000000000000007</v>
      </c>
      <c r="DV1532" s="31">
        <v>14.5</v>
      </c>
      <c r="DW1532" s="31" t="s">
        <v>1229</v>
      </c>
      <c r="EP1532" s="31">
        <v>4.8</v>
      </c>
      <c r="EQ1532" s="31">
        <v>7.64</v>
      </c>
      <c r="FH1532" s="31">
        <v>152.24</v>
      </c>
      <c r="FI1532" s="31">
        <v>273.02</v>
      </c>
      <c r="FJ1532" s="31">
        <v>4.99</v>
      </c>
      <c r="FK1532" s="31">
        <v>10.3</v>
      </c>
      <c r="FR1532" s="31" t="s">
        <v>878</v>
      </c>
      <c r="FS1532" s="31" t="s">
        <v>1226</v>
      </c>
      <c r="FT1532" s="31">
        <v>70</v>
      </c>
    </row>
    <row r="1533" spans="1:176" s="109" customFormat="1" x14ac:dyDescent="0.25">
      <c r="A1533" s="109">
        <v>70</v>
      </c>
      <c r="B1533" s="109" t="s">
        <v>1212</v>
      </c>
      <c r="C1533" s="109" t="s">
        <v>1213</v>
      </c>
      <c r="D1533" s="109">
        <v>1996</v>
      </c>
      <c r="E1533" s="109">
        <v>1992</v>
      </c>
      <c r="F1533" s="109" t="s">
        <v>1214</v>
      </c>
      <c r="G1533" s="109" t="s">
        <v>1215</v>
      </c>
      <c r="H1533" s="109">
        <v>36.69</v>
      </c>
      <c r="I1533" s="109">
        <v>-121.64</v>
      </c>
      <c r="J1533" s="109">
        <v>11.5</v>
      </c>
      <c r="P1533" s="110">
        <v>1</v>
      </c>
      <c r="Q1533" s="110" t="s">
        <v>994</v>
      </c>
      <c r="R1533" s="110"/>
      <c r="S1533" s="110" t="s">
        <v>1571</v>
      </c>
      <c r="T1533" s="110" t="s">
        <v>1571</v>
      </c>
      <c r="U1533" s="110" t="s">
        <v>1571</v>
      </c>
      <c r="V1533" s="110" t="s">
        <v>1911</v>
      </c>
      <c r="W1533" s="109">
        <v>1.46</v>
      </c>
      <c r="X1533" s="109">
        <v>69</v>
      </c>
      <c r="Y1533" s="109">
        <v>20</v>
      </c>
      <c r="Z1533" s="109" t="s">
        <v>167</v>
      </c>
      <c r="AA1533" s="109">
        <v>7.7</v>
      </c>
      <c r="AB1533" s="109">
        <v>0.62</v>
      </c>
      <c r="AD1533" s="109" t="s">
        <v>1516</v>
      </c>
      <c r="AE1533" s="109" t="s">
        <v>159</v>
      </c>
      <c r="AF1533" s="152" t="s">
        <v>159</v>
      </c>
      <c r="AG1533" s="109" t="s">
        <v>726</v>
      </c>
      <c r="AH1533" s="159" t="s">
        <v>267</v>
      </c>
      <c r="AR1533" s="109" t="s">
        <v>147</v>
      </c>
      <c r="AS1533" s="109">
        <v>3</v>
      </c>
      <c r="AT1533" s="109">
        <v>3</v>
      </c>
      <c r="AU1533" s="109" t="s">
        <v>169</v>
      </c>
      <c r="AW1533" s="109">
        <v>8.1</v>
      </c>
      <c r="AX1533" s="109">
        <f>AW1533/0.5</f>
        <v>16.2</v>
      </c>
      <c r="BM1533" s="109">
        <v>20.61</v>
      </c>
      <c r="BN1533" s="109">
        <v>10.96</v>
      </c>
      <c r="BO1533" s="109" t="s">
        <v>1223</v>
      </c>
      <c r="DI1533" s="109">
        <v>11.36</v>
      </c>
      <c r="DJ1533" s="109">
        <v>11.36</v>
      </c>
      <c r="DO1533" s="109">
        <v>0.65</v>
      </c>
      <c r="DP1533" s="109">
        <v>0.52</v>
      </c>
      <c r="DQ1533" s="109" t="s">
        <v>1228</v>
      </c>
      <c r="DU1533" s="109">
        <v>2.82</v>
      </c>
      <c r="DV1533" s="109">
        <v>2.8</v>
      </c>
      <c r="DW1533" s="109" t="s">
        <v>1229</v>
      </c>
      <c r="EP1533" s="109">
        <v>6.19</v>
      </c>
      <c r="EQ1533" s="109">
        <v>11.77</v>
      </c>
      <c r="FH1533" s="109">
        <v>74.430000000000007</v>
      </c>
      <c r="FI1533" s="109">
        <v>146.09</v>
      </c>
      <c r="FJ1533" s="109">
        <v>12.3</v>
      </c>
      <c r="FK1533" s="109">
        <v>18.32</v>
      </c>
      <c r="FR1533" s="109" t="s">
        <v>239</v>
      </c>
      <c r="FS1533" s="109" t="s">
        <v>1226</v>
      </c>
      <c r="FT1533" s="109">
        <v>70</v>
      </c>
    </row>
    <row r="1534" spans="1:176" s="109" customFormat="1" x14ac:dyDescent="0.25">
      <c r="A1534" s="109">
        <v>70</v>
      </c>
      <c r="B1534" s="109" t="s">
        <v>1212</v>
      </c>
      <c r="C1534" s="109" t="s">
        <v>1213</v>
      </c>
      <c r="D1534" s="109">
        <v>1996</v>
      </c>
      <c r="E1534" s="109">
        <v>1992</v>
      </c>
      <c r="F1534" s="109" t="s">
        <v>1214</v>
      </c>
      <c r="G1534" s="109" t="s">
        <v>1215</v>
      </c>
      <c r="H1534" s="109">
        <v>36.69</v>
      </c>
      <c r="I1534" s="109">
        <v>-121.64</v>
      </c>
      <c r="J1534" s="109">
        <v>11.5</v>
      </c>
      <c r="P1534" s="110">
        <v>1</v>
      </c>
      <c r="Q1534" s="110" t="s">
        <v>994</v>
      </c>
      <c r="R1534" s="110"/>
      <c r="S1534" s="110" t="s">
        <v>1571</v>
      </c>
      <c r="T1534" s="110" t="s">
        <v>1571</v>
      </c>
      <c r="U1534" s="110" t="s">
        <v>1571</v>
      </c>
      <c r="V1534" s="110" t="s">
        <v>1911</v>
      </c>
      <c r="W1534" s="109">
        <v>1.46</v>
      </c>
      <c r="X1534" s="109">
        <v>69</v>
      </c>
      <c r="Y1534" s="109">
        <v>20</v>
      </c>
      <c r="Z1534" s="109" t="s">
        <v>167</v>
      </c>
      <c r="AA1534" s="109">
        <v>7.7</v>
      </c>
      <c r="AB1534" s="109">
        <v>0.62</v>
      </c>
      <c r="AD1534" s="109" t="s">
        <v>1516</v>
      </c>
      <c r="AE1534" s="109" t="s">
        <v>159</v>
      </c>
      <c r="AF1534" s="152" t="s">
        <v>159</v>
      </c>
      <c r="AG1534" s="109" t="s">
        <v>726</v>
      </c>
      <c r="AH1534" s="159" t="s">
        <v>267</v>
      </c>
      <c r="AR1534" s="109" t="s">
        <v>147</v>
      </c>
      <c r="AS1534" s="109">
        <v>3</v>
      </c>
      <c r="AT1534" s="109">
        <v>3</v>
      </c>
      <c r="AU1534" s="109" t="s">
        <v>169</v>
      </c>
      <c r="AW1534" s="109">
        <v>347</v>
      </c>
      <c r="AX1534" s="109">
        <f>AW1534/21</f>
        <v>16.523809523809526</v>
      </c>
      <c r="BM1534" s="109">
        <v>22.56</v>
      </c>
      <c r="BN1534" s="109">
        <v>25.01</v>
      </c>
      <c r="BO1534" s="109" t="s">
        <v>1223</v>
      </c>
      <c r="DI1534" s="109">
        <v>9.19</v>
      </c>
      <c r="DJ1534" s="109">
        <v>8.89</v>
      </c>
      <c r="DO1534" s="109">
        <v>1.43</v>
      </c>
      <c r="DP1534" s="109">
        <v>2.41</v>
      </c>
      <c r="DQ1534" s="109" t="s">
        <v>1228</v>
      </c>
      <c r="DU1534" s="109">
        <v>29.28</v>
      </c>
      <c r="DV1534" s="109">
        <v>23.58</v>
      </c>
      <c r="DW1534" s="109" t="s">
        <v>1229</v>
      </c>
      <c r="EP1534" s="109">
        <v>3.22</v>
      </c>
      <c r="EQ1534" s="109">
        <v>7.06</v>
      </c>
      <c r="FH1534" s="109">
        <v>103.08</v>
      </c>
      <c r="FI1534" s="109">
        <v>176.78</v>
      </c>
      <c r="FJ1534" s="109">
        <v>4.41</v>
      </c>
      <c r="FK1534" s="109">
        <v>10.85</v>
      </c>
      <c r="FR1534" s="109" t="s">
        <v>1015</v>
      </c>
      <c r="FS1534" s="109" t="s">
        <v>1226</v>
      </c>
      <c r="FT1534" s="109">
        <v>70</v>
      </c>
    </row>
    <row r="1535" spans="1:176" s="109" customFormat="1" x14ac:dyDescent="0.25">
      <c r="A1535" s="109">
        <v>70</v>
      </c>
      <c r="B1535" s="109" t="s">
        <v>1212</v>
      </c>
      <c r="C1535" s="109" t="s">
        <v>1213</v>
      </c>
      <c r="D1535" s="109">
        <v>1996</v>
      </c>
      <c r="E1535" s="109">
        <v>1993</v>
      </c>
      <c r="F1535" s="109" t="s">
        <v>1214</v>
      </c>
      <c r="G1535" s="109" t="s">
        <v>1215</v>
      </c>
      <c r="H1535" s="109">
        <v>36.69</v>
      </c>
      <c r="I1535" s="109">
        <v>-121.64</v>
      </c>
      <c r="J1535" s="109">
        <v>11.5</v>
      </c>
      <c r="P1535" s="110">
        <v>1</v>
      </c>
      <c r="Q1535" s="110" t="s">
        <v>994</v>
      </c>
      <c r="R1535" s="110"/>
      <c r="S1535" s="110" t="s">
        <v>1571</v>
      </c>
      <c r="T1535" s="110" t="s">
        <v>1571</v>
      </c>
      <c r="U1535" s="110" t="s">
        <v>1571</v>
      </c>
      <c r="V1535" s="110" t="s">
        <v>1911</v>
      </c>
      <c r="W1535" s="109">
        <v>1.46</v>
      </c>
      <c r="X1535" s="109">
        <v>69</v>
      </c>
      <c r="Y1535" s="109">
        <v>20</v>
      </c>
      <c r="Z1535" s="109" t="s">
        <v>167</v>
      </c>
      <c r="AA1535" s="109">
        <v>7.7</v>
      </c>
      <c r="AB1535" s="109">
        <v>0.62</v>
      </c>
      <c r="AD1535" s="109" t="s">
        <v>1516</v>
      </c>
      <c r="AE1535" s="109" t="s">
        <v>159</v>
      </c>
      <c r="AF1535" s="152" t="s">
        <v>159</v>
      </c>
      <c r="AG1535" s="109" t="s">
        <v>726</v>
      </c>
      <c r="AH1535" s="159" t="s">
        <v>267</v>
      </c>
      <c r="AR1535" s="109" t="s">
        <v>147</v>
      </c>
      <c r="AS1535" s="109">
        <v>3</v>
      </c>
      <c r="AT1535" s="109">
        <v>3</v>
      </c>
      <c r="AU1535" s="109" t="s">
        <v>169</v>
      </c>
      <c r="AW1535" s="109">
        <v>1399</v>
      </c>
      <c r="AX1535" s="109">
        <f>AW1535/59</f>
        <v>23.711864406779661</v>
      </c>
      <c r="BM1535" s="109">
        <v>44.05</v>
      </c>
      <c r="BN1535" s="109">
        <v>44.76</v>
      </c>
      <c r="BO1535" s="109" t="s">
        <v>1223</v>
      </c>
      <c r="DI1535" s="109">
        <v>8.2799999999999994</v>
      </c>
      <c r="DJ1535" s="109">
        <v>7.76</v>
      </c>
      <c r="DO1535" s="109">
        <v>9.02</v>
      </c>
      <c r="DP1535" s="109">
        <v>6</v>
      </c>
      <c r="DQ1535" s="109" t="s">
        <v>1228</v>
      </c>
      <c r="DU1535" s="109">
        <v>153.53</v>
      </c>
      <c r="DV1535" s="109">
        <v>130.69999999999999</v>
      </c>
      <c r="DW1535" s="109" t="s">
        <v>1229</v>
      </c>
      <c r="EP1535" s="109">
        <v>5.32</v>
      </c>
      <c r="EQ1535" s="109">
        <v>6.41</v>
      </c>
      <c r="FH1535" s="109">
        <v>49.83</v>
      </c>
      <c r="FI1535" s="109">
        <v>101.01</v>
      </c>
      <c r="FJ1535" s="109">
        <v>11.14</v>
      </c>
      <c r="FK1535" s="109">
        <v>7.56</v>
      </c>
      <c r="FR1535" s="109" t="s">
        <v>1225</v>
      </c>
      <c r="FS1535" s="109" t="s">
        <v>1226</v>
      </c>
      <c r="FT1535" s="109">
        <v>70</v>
      </c>
    </row>
    <row r="1536" spans="1:176" s="109" customFormat="1" x14ac:dyDescent="0.25">
      <c r="A1536" s="109">
        <v>70</v>
      </c>
      <c r="B1536" s="109" t="s">
        <v>1212</v>
      </c>
      <c r="C1536" s="109" t="s">
        <v>1213</v>
      </c>
      <c r="D1536" s="109">
        <v>1996</v>
      </c>
      <c r="E1536" s="109">
        <v>1993</v>
      </c>
      <c r="F1536" s="109" t="s">
        <v>1214</v>
      </c>
      <c r="G1536" s="109" t="s">
        <v>1215</v>
      </c>
      <c r="H1536" s="109">
        <v>36.69</v>
      </c>
      <c r="I1536" s="109">
        <v>-121.64</v>
      </c>
      <c r="J1536" s="109">
        <v>11.5</v>
      </c>
      <c r="P1536" s="110">
        <v>1</v>
      </c>
      <c r="Q1536" s="110" t="s">
        <v>994</v>
      </c>
      <c r="R1536" s="110"/>
      <c r="S1536" s="110" t="s">
        <v>1571</v>
      </c>
      <c r="T1536" s="110" t="s">
        <v>1571</v>
      </c>
      <c r="U1536" s="110" t="s">
        <v>1571</v>
      </c>
      <c r="V1536" s="110" t="s">
        <v>1911</v>
      </c>
      <c r="W1536" s="109">
        <v>1.46</v>
      </c>
      <c r="X1536" s="109">
        <v>69</v>
      </c>
      <c r="Y1536" s="109">
        <v>20</v>
      </c>
      <c r="Z1536" s="109" t="s">
        <v>167</v>
      </c>
      <c r="AA1536" s="109">
        <v>7.7</v>
      </c>
      <c r="AB1536" s="109">
        <v>0.62</v>
      </c>
      <c r="AD1536" s="109" t="s">
        <v>1516</v>
      </c>
      <c r="AE1536" s="109" t="s">
        <v>159</v>
      </c>
      <c r="AF1536" s="152" t="s">
        <v>159</v>
      </c>
      <c r="AG1536" s="109" t="s">
        <v>726</v>
      </c>
      <c r="AH1536" s="159" t="s">
        <v>267</v>
      </c>
      <c r="AR1536" s="109" t="s">
        <v>147</v>
      </c>
      <c r="AS1536" s="109">
        <v>3</v>
      </c>
      <c r="AT1536" s="109">
        <v>3</v>
      </c>
      <c r="AU1536" s="109" t="s">
        <v>169</v>
      </c>
      <c r="AW1536" s="109">
        <v>2151</v>
      </c>
      <c r="AX1536" s="109">
        <f>AW1536/78</f>
        <v>27.576923076923077</v>
      </c>
      <c r="BM1536" s="109">
        <v>57.76</v>
      </c>
      <c r="BN1536" s="109">
        <v>43.79</v>
      </c>
      <c r="BO1536" s="109" t="s">
        <v>1223</v>
      </c>
      <c r="DI1536" s="109">
        <v>7.15</v>
      </c>
      <c r="DJ1536" s="109">
        <v>8.1199999999999992</v>
      </c>
      <c r="DO1536" s="109">
        <v>15.1</v>
      </c>
      <c r="DP1536" s="109">
        <v>9.07</v>
      </c>
      <c r="DQ1536" s="109" t="s">
        <v>1228</v>
      </c>
      <c r="DU1536" s="109">
        <v>46.96</v>
      </c>
      <c r="DV1536" s="109">
        <v>40.31</v>
      </c>
      <c r="DW1536" s="109" t="s">
        <v>1229</v>
      </c>
      <c r="EP1536" s="109">
        <v>7.05</v>
      </c>
      <c r="EQ1536" s="109">
        <v>7.42</v>
      </c>
      <c r="FH1536" s="109">
        <v>117.26</v>
      </c>
      <c r="FI1536" s="109">
        <v>332.21</v>
      </c>
      <c r="FJ1536" s="109">
        <v>6.37</v>
      </c>
      <c r="FK1536" s="109">
        <v>12.53</v>
      </c>
      <c r="FR1536" s="109" t="s">
        <v>1225</v>
      </c>
      <c r="FS1536" s="109" t="s">
        <v>1226</v>
      </c>
      <c r="FT1536" s="109">
        <v>70</v>
      </c>
    </row>
    <row r="1537" spans="1:176" s="109" customFormat="1" x14ac:dyDescent="0.25">
      <c r="A1537" s="109">
        <v>70</v>
      </c>
      <c r="B1537" s="109" t="s">
        <v>1212</v>
      </c>
      <c r="C1537" s="109" t="s">
        <v>1213</v>
      </c>
      <c r="D1537" s="109">
        <v>1996</v>
      </c>
      <c r="E1537" s="109">
        <v>1993</v>
      </c>
      <c r="F1537" s="109" t="s">
        <v>1214</v>
      </c>
      <c r="G1537" s="109" t="s">
        <v>1215</v>
      </c>
      <c r="H1537" s="109">
        <v>36.69</v>
      </c>
      <c r="I1537" s="109">
        <v>-121.64</v>
      </c>
      <c r="J1537" s="109">
        <v>11.5</v>
      </c>
      <c r="P1537" s="110">
        <v>1</v>
      </c>
      <c r="Q1537" s="110" t="s">
        <v>994</v>
      </c>
      <c r="R1537" s="110"/>
      <c r="S1537" s="110" t="s">
        <v>1571</v>
      </c>
      <c r="T1537" s="110" t="s">
        <v>1571</v>
      </c>
      <c r="U1537" s="110" t="s">
        <v>1571</v>
      </c>
      <c r="V1537" s="110" t="s">
        <v>1911</v>
      </c>
      <c r="W1537" s="109">
        <v>1.46</v>
      </c>
      <c r="X1537" s="109">
        <v>69</v>
      </c>
      <c r="Y1537" s="109">
        <v>20</v>
      </c>
      <c r="Z1537" s="109" t="s">
        <v>167</v>
      </c>
      <c r="AA1537" s="109">
        <v>7.7</v>
      </c>
      <c r="AB1537" s="109">
        <v>0.62</v>
      </c>
      <c r="AD1537" s="109" t="s">
        <v>1516</v>
      </c>
      <c r="AE1537" s="109" t="s">
        <v>159</v>
      </c>
      <c r="AF1537" s="152" t="s">
        <v>159</v>
      </c>
      <c r="AG1537" s="109" t="s">
        <v>726</v>
      </c>
      <c r="AH1537" s="159" t="s">
        <v>267</v>
      </c>
      <c r="AR1537" s="109" t="s">
        <v>147</v>
      </c>
      <c r="AS1537" s="109">
        <v>3</v>
      </c>
      <c r="AT1537" s="109">
        <v>3</v>
      </c>
      <c r="AU1537" s="109" t="s">
        <v>169</v>
      </c>
      <c r="AW1537" s="109">
        <v>3727</v>
      </c>
      <c r="AX1537" s="109">
        <f>AW1537/136</f>
        <v>27.404411764705884</v>
      </c>
      <c r="BM1537" s="109">
        <v>70.599999999999994</v>
      </c>
      <c r="BN1537" s="109">
        <v>70.8</v>
      </c>
      <c r="BO1537" s="109" t="s">
        <v>1223</v>
      </c>
      <c r="DI1537" s="109">
        <v>5.56</v>
      </c>
      <c r="DJ1537" s="109">
        <v>6</v>
      </c>
      <c r="DO1537" s="109">
        <v>8.41</v>
      </c>
      <c r="DP1537" s="109">
        <v>5.13</v>
      </c>
      <c r="DQ1537" s="109" t="s">
        <v>1228</v>
      </c>
      <c r="DU1537" s="109">
        <v>42.08</v>
      </c>
      <c r="DV1537" s="109">
        <v>29.7</v>
      </c>
      <c r="DW1537" s="109" t="s">
        <v>1229</v>
      </c>
      <c r="EP1537" s="109">
        <v>3.86</v>
      </c>
      <c r="EQ1537" s="109">
        <v>2.41</v>
      </c>
      <c r="FH1537" s="109">
        <v>119.25</v>
      </c>
      <c r="FI1537" s="109">
        <v>176.57</v>
      </c>
      <c r="FJ1537" s="109">
        <v>11.22</v>
      </c>
      <c r="FK1537" s="109">
        <v>12.94</v>
      </c>
      <c r="FR1537" s="109" t="s">
        <v>879</v>
      </c>
      <c r="FS1537" s="109" t="s">
        <v>1226</v>
      </c>
      <c r="FT1537" s="109">
        <v>70</v>
      </c>
    </row>
    <row r="1538" spans="1:176" s="47" customFormat="1" x14ac:dyDescent="0.25">
      <c r="A1538" s="47">
        <v>71</v>
      </c>
      <c r="B1538" s="47" t="s">
        <v>1230</v>
      </c>
      <c r="C1538" s="47" t="s">
        <v>1231</v>
      </c>
      <c r="D1538" s="47">
        <v>1988</v>
      </c>
      <c r="E1538" s="47">
        <v>1984</v>
      </c>
      <c r="F1538" s="47" t="s">
        <v>1232</v>
      </c>
      <c r="G1538" s="47" t="s">
        <v>1234</v>
      </c>
      <c r="H1538" s="47">
        <v>34.67</v>
      </c>
      <c r="I1538" s="47">
        <v>-86.89</v>
      </c>
      <c r="J1538" s="47">
        <v>182</v>
      </c>
      <c r="P1538" s="82">
        <v>1</v>
      </c>
      <c r="Q1538" s="82" t="s">
        <v>994</v>
      </c>
      <c r="R1538" s="82" t="s">
        <v>1251</v>
      </c>
      <c r="S1538" s="82" t="s">
        <v>1553</v>
      </c>
      <c r="T1538" s="82" t="s">
        <v>1553</v>
      </c>
      <c r="U1538" s="82" t="s">
        <v>1553</v>
      </c>
      <c r="V1538" s="82" t="s">
        <v>1553</v>
      </c>
      <c r="X1538" s="47">
        <v>13</v>
      </c>
      <c r="Y1538" s="47">
        <v>54</v>
      </c>
      <c r="Z1538" s="47" t="s">
        <v>531</v>
      </c>
      <c r="AD1538" s="47" t="s">
        <v>1517</v>
      </c>
      <c r="AE1538" s="47" t="s">
        <v>1707</v>
      </c>
      <c r="AF1538" s="152" t="s">
        <v>1761</v>
      </c>
      <c r="AG1538" s="47" t="s">
        <v>673</v>
      </c>
      <c r="AH1538" s="154" t="s">
        <v>1797</v>
      </c>
      <c r="AO1538" s="47" t="s">
        <v>1233</v>
      </c>
      <c r="AP1538" s="47" t="s">
        <v>1233</v>
      </c>
      <c r="AQ1538" s="47" t="s">
        <v>212</v>
      </c>
      <c r="BD1538" s="47">
        <v>3217</v>
      </c>
      <c r="BE1538" s="47">
        <v>3613</v>
      </c>
      <c r="CW1538" s="47">
        <v>228</v>
      </c>
      <c r="CX1538" s="47">
        <v>944</v>
      </c>
      <c r="CY1538" s="47" t="s">
        <v>1249</v>
      </c>
      <c r="CZ1538" s="47">
        <v>9.1999999999999993</v>
      </c>
      <c r="DA1538" s="47">
        <v>21.3</v>
      </c>
      <c r="DB1538" s="47" t="s">
        <v>1250</v>
      </c>
      <c r="FT1538" s="47">
        <v>71</v>
      </c>
    </row>
    <row r="1539" spans="1:176" s="47" customFormat="1" x14ac:dyDescent="0.25">
      <c r="A1539" s="47">
        <v>71</v>
      </c>
      <c r="B1539" s="47" t="s">
        <v>1230</v>
      </c>
      <c r="C1539" s="47" t="s">
        <v>1231</v>
      </c>
      <c r="D1539" s="47">
        <v>1988</v>
      </c>
      <c r="E1539" s="47">
        <v>1984</v>
      </c>
      <c r="F1539" s="47" t="s">
        <v>1232</v>
      </c>
      <c r="G1539" s="47" t="s">
        <v>1234</v>
      </c>
      <c r="H1539" s="47">
        <v>34.67</v>
      </c>
      <c r="I1539" s="47">
        <v>-86.89</v>
      </c>
      <c r="J1539" s="47">
        <v>182</v>
      </c>
      <c r="P1539" s="82">
        <v>1</v>
      </c>
      <c r="Q1539" s="82" t="s">
        <v>994</v>
      </c>
      <c r="R1539" s="82" t="s">
        <v>1251</v>
      </c>
      <c r="S1539" s="82" t="s">
        <v>1553</v>
      </c>
      <c r="T1539" s="82" t="s">
        <v>1553</v>
      </c>
      <c r="U1539" s="82" t="s">
        <v>1553</v>
      </c>
      <c r="V1539" s="82" t="s">
        <v>1553</v>
      </c>
      <c r="X1539" s="47">
        <v>13</v>
      </c>
      <c r="Y1539" s="47">
        <v>54</v>
      </c>
      <c r="Z1539" s="47" t="s">
        <v>531</v>
      </c>
      <c r="AD1539" s="47" t="s">
        <v>1517</v>
      </c>
      <c r="AE1539" s="47" t="s">
        <v>1707</v>
      </c>
      <c r="AF1539" s="152" t="s">
        <v>1761</v>
      </c>
      <c r="AG1539" s="47" t="s">
        <v>673</v>
      </c>
      <c r="AH1539" s="154" t="s">
        <v>1797</v>
      </c>
      <c r="AO1539" s="47" t="s">
        <v>1233</v>
      </c>
      <c r="AP1539" s="47" t="s">
        <v>1233</v>
      </c>
      <c r="AQ1539" s="47" t="s">
        <v>212</v>
      </c>
      <c r="BD1539" s="47">
        <v>3217</v>
      </c>
      <c r="BE1539" s="47">
        <v>3108</v>
      </c>
      <c r="CW1539" s="47">
        <v>228</v>
      </c>
      <c r="CX1539" s="47">
        <v>2103</v>
      </c>
      <c r="CY1539" s="47" t="s">
        <v>1249</v>
      </c>
      <c r="CZ1539" s="47">
        <v>9.1999999999999993</v>
      </c>
      <c r="DA1539" s="47">
        <v>24.5</v>
      </c>
      <c r="DB1539" s="47" t="s">
        <v>1250</v>
      </c>
      <c r="FT1539" s="47">
        <v>71</v>
      </c>
    </row>
    <row r="1540" spans="1:176" s="47" customFormat="1" x14ac:dyDescent="0.25">
      <c r="A1540" s="47">
        <v>71</v>
      </c>
      <c r="B1540" s="47" t="s">
        <v>1230</v>
      </c>
      <c r="C1540" s="47" t="s">
        <v>1231</v>
      </c>
      <c r="D1540" s="47">
        <v>1988</v>
      </c>
      <c r="E1540" s="47">
        <v>1984</v>
      </c>
      <c r="F1540" s="47" t="s">
        <v>1232</v>
      </c>
      <c r="G1540" s="47" t="s">
        <v>1234</v>
      </c>
      <c r="H1540" s="47">
        <v>34.67</v>
      </c>
      <c r="I1540" s="47">
        <v>-86.89</v>
      </c>
      <c r="J1540" s="47">
        <v>182</v>
      </c>
      <c r="P1540" s="82">
        <v>1</v>
      </c>
      <c r="Q1540" s="82" t="s">
        <v>994</v>
      </c>
      <c r="R1540" s="82" t="s">
        <v>1252</v>
      </c>
      <c r="S1540" s="82" t="s">
        <v>1553</v>
      </c>
      <c r="T1540" s="82" t="s">
        <v>1553</v>
      </c>
      <c r="U1540" s="82" t="s">
        <v>1553</v>
      </c>
      <c r="V1540" s="82" t="s">
        <v>1553</v>
      </c>
      <c r="X1540" s="47">
        <v>13</v>
      </c>
      <c r="Y1540" s="47">
        <v>54</v>
      </c>
      <c r="Z1540" s="47" t="s">
        <v>531</v>
      </c>
      <c r="AD1540" s="47" t="s">
        <v>1517</v>
      </c>
      <c r="AE1540" s="47" t="s">
        <v>1707</v>
      </c>
      <c r="AF1540" s="152" t="s">
        <v>1761</v>
      </c>
      <c r="AG1540" s="47" t="s">
        <v>673</v>
      </c>
      <c r="AH1540" s="154" t="s">
        <v>1797</v>
      </c>
      <c r="AO1540" s="47" t="s">
        <v>1233</v>
      </c>
      <c r="AP1540" s="47" t="s">
        <v>1233</v>
      </c>
      <c r="AQ1540" s="47" t="s">
        <v>212</v>
      </c>
      <c r="CW1540" s="47">
        <v>32</v>
      </c>
      <c r="CX1540" s="47">
        <v>123</v>
      </c>
      <c r="CY1540" s="47" t="s">
        <v>1249</v>
      </c>
      <c r="CZ1540" s="47">
        <v>4.4000000000000004</v>
      </c>
      <c r="DA1540" s="47">
        <v>13.3</v>
      </c>
      <c r="DB1540" s="47" t="s">
        <v>1250</v>
      </c>
      <c r="FT1540" s="47">
        <v>71</v>
      </c>
    </row>
    <row r="1541" spans="1:176" s="47" customFormat="1" x14ac:dyDescent="0.25">
      <c r="A1541" s="47">
        <v>71</v>
      </c>
      <c r="B1541" s="47" t="s">
        <v>1230</v>
      </c>
      <c r="C1541" s="47" t="s">
        <v>1231</v>
      </c>
      <c r="D1541" s="47">
        <v>1988</v>
      </c>
      <c r="E1541" s="47">
        <v>1984</v>
      </c>
      <c r="F1541" s="47" t="s">
        <v>1232</v>
      </c>
      <c r="G1541" s="47" t="s">
        <v>1234</v>
      </c>
      <c r="H1541" s="47">
        <v>34.67</v>
      </c>
      <c r="I1541" s="47">
        <v>-86.89</v>
      </c>
      <c r="J1541" s="47">
        <v>182</v>
      </c>
      <c r="P1541" s="82">
        <v>1</v>
      </c>
      <c r="Q1541" s="82" t="s">
        <v>994</v>
      </c>
      <c r="R1541" s="82" t="s">
        <v>1252</v>
      </c>
      <c r="S1541" s="82" t="s">
        <v>1553</v>
      </c>
      <c r="T1541" s="82" t="s">
        <v>1553</v>
      </c>
      <c r="U1541" s="82" t="s">
        <v>1553</v>
      </c>
      <c r="V1541" s="82" t="s">
        <v>1553</v>
      </c>
      <c r="X1541" s="47">
        <v>13</v>
      </c>
      <c r="Y1541" s="47">
        <v>54</v>
      </c>
      <c r="Z1541" s="47" t="s">
        <v>531</v>
      </c>
      <c r="AD1541" s="47" t="s">
        <v>1517</v>
      </c>
      <c r="AE1541" s="47" t="s">
        <v>1707</v>
      </c>
      <c r="AF1541" s="152" t="s">
        <v>1761</v>
      </c>
      <c r="AG1541" s="47" t="s">
        <v>673</v>
      </c>
      <c r="AH1541" s="154" t="s">
        <v>1797</v>
      </c>
      <c r="AO1541" s="47" t="s">
        <v>1233</v>
      </c>
      <c r="AP1541" s="47" t="s">
        <v>1233</v>
      </c>
      <c r="AQ1541" s="47" t="s">
        <v>212</v>
      </c>
      <c r="CW1541" s="47">
        <v>32</v>
      </c>
      <c r="CX1541" s="47">
        <v>134</v>
      </c>
      <c r="CY1541" s="47" t="s">
        <v>1249</v>
      </c>
      <c r="CZ1541" s="47">
        <v>4.4000000000000004</v>
      </c>
      <c r="DA1541" s="47">
        <v>10</v>
      </c>
      <c r="DB1541" s="47" t="s">
        <v>1250</v>
      </c>
      <c r="FT1541" s="47">
        <v>71</v>
      </c>
    </row>
    <row r="1542" spans="1:176" s="31" customFormat="1" x14ac:dyDescent="0.25">
      <c r="A1542" s="31">
        <v>72</v>
      </c>
      <c r="B1542" s="31" t="s">
        <v>1253</v>
      </c>
      <c r="C1542" s="31" t="s">
        <v>1254</v>
      </c>
      <c r="D1542" s="31">
        <v>1992</v>
      </c>
      <c r="E1542" s="31">
        <v>1989</v>
      </c>
      <c r="F1542" s="31" t="s">
        <v>155</v>
      </c>
      <c r="G1542" s="31" t="s">
        <v>1268</v>
      </c>
      <c r="H1542" s="31">
        <v>48.22</v>
      </c>
      <c r="I1542" s="31">
        <v>11.6</v>
      </c>
      <c r="J1542" s="31">
        <v>493</v>
      </c>
      <c r="P1542" s="56">
        <v>1</v>
      </c>
      <c r="Q1542" s="56" t="s">
        <v>994</v>
      </c>
      <c r="R1542" s="56"/>
      <c r="S1542" s="56" t="s">
        <v>1564</v>
      </c>
      <c r="T1542" s="56" t="s">
        <v>1564</v>
      </c>
      <c r="U1542" s="56" t="s">
        <v>1564</v>
      </c>
      <c r="V1542" s="56" t="s">
        <v>1907</v>
      </c>
      <c r="X1542" s="31">
        <f>100-63-20</f>
        <v>17</v>
      </c>
      <c r="Y1542" s="31">
        <v>63</v>
      </c>
      <c r="Z1542" s="31" t="s">
        <v>167</v>
      </c>
      <c r="AD1542" s="31" t="s">
        <v>1518</v>
      </c>
      <c r="AE1542" s="31" t="s">
        <v>727</v>
      </c>
      <c r="AF1542" s="152" t="s">
        <v>727</v>
      </c>
      <c r="AG1542" s="31" t="s">
        <v>1255</v>
      </c>
      <c r="AH1542" s="155" t="s">
        <v>1809</v>
      </c>
      <c r="AI1542" s="31" t="s">
        <v>1256</v>
      </c>
      <c r="AJ1542" s="31" t="s">
        <v>1257</v>
      </c>
      <c r="AK1542" s="31" t="s">
        <v>587</v>
      </c>
      <c r="AO1542" s="31" t="s">
        <v>1260</v>
      </c>
      <c r="AP1542" s="31" t="s">
        <v>1258</v>
      </c>
      <c r="AQ1542" s="31" t="s">
        <v>587</v>
      </c>
      <c r="AR1542" s="31" t="s">
        <v>192</v>
      </c>
      <c r="BJ1542" s="31">
        <v>0.89</v>
      </c>
      <c r="BK1542" s="31">
        <v>1.26</v>
      </c>
      <c r="BL1542" s="31" t="s">
        <v>1140</v>
      </c>
      <c r="EJ1542" s="31">
        <v>61.6</v>
      </c>
      <c r="EK1542" s="31">
        <v>105.6</v>
      </c>
      <c r="EL1542" s="31" t="s">
        <v>1262</v>
      </c>
      <c r="EV1542" s="31">
        <v>4.3999999999999997E-2</v>
      </c>
      <c r="EW1542" s="31">
        <v>4.2999999999999997E-2</v>
      </c>
      <c r="EX1542" s="31" t="s">
        <v>1261</v>
      </c>
      <c r="FH1542" s="31">
        <v>281</v>
      </c>
      <c r="FI1542" s="31">
        <v>514</v>
      </c>
      <c r="FR1542" s="31" t="s">
        <v>1263</v>
      </c>
      <c r="FT1542" s="31">
        <v>72</v>
      </c>
    </row>
    <row r="1543" spans="1:176" s="31" customFormat="1" x14ac:dyDescent="0.25">
      <c r="A1543" s="31">
        <v>72</v>
      </c>
      <c r="B1543" s="31" t="s">
        <v>1253</v>
      </c>
      <c r="C1543" s="31" t="s">
        <v>1254</v>
      </c>
      <c r="D1543" s="31">
        <v>1992</v>
      </c>
      <c r="E1543" s="31">
        <v>1989</v>
      </c>
      <c r="F1543" s="31" t="s">
        <v>155</v>
      </c>
      <c r="G1543" s="31" t="s">
        <v>1268</v>
      </c>
      <c r="H1543" s="31">
        <v>48.22</v>
      </c>
      <c r="I1543" s="31">
        <v>11.6</v>
      </c>
      <c r="J1543" s="31">
        <v>493</v>
      </c>
      <c r="P1543" s="56">
        <v>1</v>
      </c>
      <c r="Q1543" s="56" t="s">
        <v>994</v>
      </c>
      <c r="R1543" s="56"/>
      <c r="S1543" s="56" t="s">
        <v>1564</v>
      </c>
      <c r="T1543" s="56" t="s">
        <v>1564</v>
      </c>
      <c r="U1543" s="56" t="s">
        <v>1564</v>
      </c>
      <c r="V1543" s="56" t="s">
        <v>1907</v>
      </c>
      <c r="X1543" s="31">
        <f>100-63-20</f>
        <v>17</v>
      </c>
      <c r="Y1543" s="31">
        <v>63</v>
      </c>
      <c r="Z1543" s="31" t="s">
        <v>167</v>
      </c>
      <c r="AD1543" s="31" t="s">
        <v>1518</v>
      </c>
      <c r="AE1543" s="31" t="s">
        <v>727</v>
      </c>
      <c r="AF1543" s="152" t="s">
        <v>727</v>
      </c>
      <c r="AG1543" s="31" t="s">
        <v>1255</v>
      </c>
      <c r="AH1543" s="155" t="s">
        <v>1809</v>
      </c>
      <c r="AI1543" s="31" t="s">
        <v>1256</v>
      </c>
      <c r="AJ1543" s="31" t="s">
        <v>1257</v>
      </c>
      <c r="AK1543" s="31" t="s">
        <v>587</v>
      </c>
      <c r="AO1543" s="31" t="s">
        <v>1259</v>
      </c>
      <c r="AP1543" s="31" t="s">
        <v>1258</v>
      </c>
      <c r="AQ1543" s="31" t="s">
        <v>587</v>
      </c>
      <c r="AR1543" s="31" t="s">
        <v>192</v>
      </c>
      <c r="BJ1543" s="31">
        <v>0.99</v>
      </c>
      <c r="BK1543" s="31">
        <v>1.26</v>
      </c>
      <c r="BL1543" s="31" t="s">
        <v>1140</v>
      </c>
      <c r="EJ1543" s="31">
        <v>69.2</v>
      </c>
      <c r="EK1543" s="31">
        <v>105.6</v>
      </c>
      <c r="EL1543" s="31" t="s">
        <v>1262</v>
      </c>
      <c r="EV1543" s="31">
        <v>4.2999999999999997E-2</v>
      </c>
      <c r="EW1543" s="31">
        <v>4.2999999999999997E-2</v>
      </c>
      <c r="EX1543" s="31" t="s">
        <v>1261</v>
      </c>
      <c r="FH1543" s="31">
        <v>326</v>
      </c>
      <c r="FI1543" s="31">
        <v>514</v>
      </c>
      <c r="FR1543" s="31" t="s">
        <v>1263</v>
      </c>
      <c r="FT1543" s="31">
        <v>72</v>
      </c>
    </row>
    <row r="1544" spans="1:176" s="26" customFormat="1" x14ac:dyDescent="0.25">
      <c r="A1544" s="26">
        <v>73</v>
      </c>
      <c r="B1544" s="26" t="s">
        <v>1265</v>
      </c>
      <c r="C1544" s="26" t="s">
        <v>1266</v>
      </c>
      <c r="D1544" s="26">
        <v>2003</v>
      </c>
      <c r="E1544" s="26">
        <v>1988</v>
      </c>
      <c r="F1544" s="26" t="s">
        <v>1267</v>
      </c>
      <c r="G1544" s="26" t="s">
        <v>1295</v>
      </c>
      <c r="H1544" s="26">
        <v>50.29</v>
      </c>
      <c r="I1544" s="26">
        <v>-107.8</v>
      </c>
      <c r="J1544" s="26">
        <v>757</v>
      </c>
      <c r="P1544" s="52">
        <v>1</v>
      </c>
      <c r="Q1544" s="52" t="s">
        <v>1264</v>
      </c>
      <c r="R1544" s="52" t="s">
        <v>1272</v>
      </c>
      <c r="S1544" s="52" t="s">
        <v>1575</v>
      </c>
      <c r="T1544" s="52" t="s">
        <v>1565</v>
      </c>
      <c r="U1544" s="52" t="s">
        <v>1593</v>
      </c>
      <c r="V1544" s="52" t="s">
        <v>1914</v>
      </c>
      <c r="W1544" s="26">
        <f>(1.37+1.36+1.41+1.61+1.69)/5</f>
        <v>1.4880000000000002</v>
      </c>
      <c r="Z1544" s="26" t="s">
        <v>167</v>
      </c>
      <c r="AD1544" s="26" t="s">
        <v>1519</v>
      </c>
      <c r="AE1544" s="26" t="s">
        <v>666</v>
      </c>
      <c r="AF1544" s="152" t="s">
        <v>666</v>
      </c>
      <c r="AG1544" s="26" t="s">
        <v>1716</v>
      </c>
      <c r="AH1544" s="154" t="s">
        <v>144</v>
      </c>
      <c r="AI1544" s="26" t="s">
        <v>1256</v>
      </c>
      <c r="AJ1544" s="26" t="s">
        <v>1256</v>
      </c>
      <c r="AK1544" s="26" t="s">
        <v>212</v>
      </c>
      <c r="AO1544" s="26" t="s">
        <v>1270</v>
      </c>
      <c r="AP1544" s="26" t="s">
        <v>1271</v>
      </c>
      <c r="AQ1544" s="26" t="s">
        <v>587</v>
      </c>
      <c r="AR1544" s="26" t="s">
        <v>1269</v>
      </c>
      <c r="AS1544" s="26">
        <v>3</v>
      </c>
      <c r="AT1544" s="26">
        <v>3</v>
      </c>
      <c r="AU1544" s="26" t="s">
        <v>169</v>
      </c>
      <c r="AZ1544" s="26" t="s">
        <v>1273</v>
      </c>
      <c r="BA1544" s="26">
        <v>1555</v>
      </c>
      <c r="BB1544" s="26">
        <v>1011</v>
      </c>
      <c r="BC1544" s="26" t="s">
        <v>1274</v>
      </c>
      <c r="BD1544" s="26">
        <v>1168</v>
      </c>
      <c r="BE1544" s="26">
        <v>700</v>
      </c>
      <c r="BF1544" s="26" t="s">
        <v>1277</v>
      </c>
      <c r="BM1544" s="26">
        <f>154*0.056</f>
        <v>8.6240000000000006</v>
      </c>
      <c r="BN1544" s="26">
        <f>86.5*0.056</f>
        <v>4.8440000000000003</v>
      </c>
      <c r="BO1544" s="26" t="s">
        <v>1859</v>
      </c>
      <c r="DI1544" s="26">
        <v>231</v>
      </c>
      <c r="DJ1544" s="26">
        <v>207</v>
      </c>
      <c r="DK1544" s="26" t="s">
        <v>1279</v>
      </c>
      <c r="DL1544" s="26">
        <v>148</v>
      </c>
      <c r="DM1544" s="26">
        <v>124</v>
      </c>
      <c r="DN1544" s="26" t="s">
        <v>1278</v>
      </c>
      <c r="FR1544" s="26" t="s">
        <v>1277</v>
      </c>
      <c r="FT1544" s="26">
        <v>73</v>
      </c>
    </row>
    <row r="1545" spans="1:176" s="26" customFormat="1" x14ac:dyDescent="0.25">
      <c r="A1545" s="26">
        <v>73</v>
      </c>
      <c r="B1545" s="26" t="s">
        <v>1265</v>
      </c>
      <c r="C1545" s="26" t="s">
        <v>1266</v>
      </c>
      <c r="D1545" s="26">
        <v>2003</v>
      </c>
      <c r="E1545" s="26">
        <v>1989</v>
      </c>
      <c r="F1545" s="26" t="s">
        <v>1267</v>
      </c>
      <c r="G1545" s="26" t="s">
        <v>1295</v>
      </c>
      <c r="H1545" s="26">
        <v>50.29</v>
      </c>
      <c r="I1545" s="26">
        <v>-107.8</v>
      </c>
      <c r="J1545" s="26">
        <v>757</v>
      </c>
      <c r="P1545" s="52">
        <v>2</v>
      </c>
      <c r="Q1545" s="52" t="s">
        <v>1264</v>
      </c>
      <c r="R1545" s="52" t="s">
        <v>1272</v>
      </c>
      <c r="S1545" s="52" t="s">
        <v>1575</v>
      </c>
      <c r="T1545" s="52" t="s">
        <v>1565</v>
      </c>
      <c r="U1545" s="52" t="s">
        <v>1593</v>
      </c>
      <c r="V1545" s="52" t="s">
        <v>1914</v>
      </c>
      <c r="W1545" s="26">
        <f t="shared" ref="W1545:W1555" si="255">(1.37+1.36+1.41+1.61+1.69)/5</f>
        <v>1.4880000000000002</v>
      </c>
      <c r="Z1545" s="26" t="s">
        <v>167</v>
      </c>
      <c r="AD1545" s="26" t="s">
        <v>1519</v>
      </c>
      <c r="AE1545" s="26" t="s">
        <v>666</v>
      </c>
      <c r="AF1545" s="152" t="s">
        <v>666</v>
      </c>
      <c r="AG1545" s="26" t="s">
        <v>1716</v>
      </c>
      <c r="AH1545" s="154" t="s">
        <v>144</v>
      </c>
      <c r="AI1545" s="26" t="s">
        <v>1256</v>
      </c>
      <c r="AJ1545" s="26" t="s">
        <v>1256</v>
      </c>
      <c r="AK1545" s="26" t="s">
        <v>212</v>
      </c>
      <c r="AO1545" s="26" t="s">
        <v>1270</v>
      </c>
      <c r="AP1545" s="26" t="s">
        <v>1271</v>
      </c>
      <c r="AQ1545" s="26" t="s">
        <v>587</v>
      </c>
      <c r="AR1545" s="26" t="s">
        <v>1269</v>
      </c>
      <c r="AS1545" s="26">
        <v>3</v>
      </c>
      <c r="AT1545" s="26">
        <v>3</v>
      </c>
      <c r="AU1545" s="26" t="s">
        <v>169</v>
      </c>
      <c r="AZ1545" s="26" t="s">
        <v>1273</v>
      </c>
      <c r="BA1545" s="26">
        <v>3024</v>
      </c>
      <c r="BB1545" s="26">
        <v>2663</v>
      </c>
      <c r="BC1545" s="26" t="s">
        <v>1274</v>
      </c>
      <c r="BD1545" s="26">
        <v>1815</v>
      </c>
      <c r="BE1545" s="26">
        <v>1626</v>
      </c>
      <c r="BF1545" s="26" t="s">
        <v>1277</v>
      </c>
      <c r="BM1545" s="26">
        <f>168.5*0.056</f>
        <v>9.4359999999999999</v>
      </c>
      <c r="BN1545" s="26">
        <f>99.7*0.056</f>
        <v>5.5832000000000006</v>
      </c>
      <c r="BO1545" s="26" t="s">
        <v>1859</v>
      </c>
      <c r="DI1545" s="26">
        <v>230</v>
      </c>
      <c r="DJ1545" s="26">
        <v>187</v>
      </c>
      <c r="DK1545" s="26" t="s">
        <v>1279</v>
      </c>
      <c r="DL1545" s="26">
        <v>147</v>
      </c>
      <c r="DM1545" s="26">
        <v>104</v>
      </c>
      <c r="DN1545" s="26" t="s">
        <v>1278</v>
      </c>
      <c r="FR1545" s="26" t="s">
        <v>1277</v>
      </c>
      <c r="FT1545" s="26">
        <v>73</v>
      </c>
    </row>
    <row r="1546" spans="1:176" s="26" customFormat="1" x14ac:dyDescent="0.25">
      <c r="A1546" s="26">
        <v>73</v>
      </c>
      <c r="B1546" s="26" t="s">
        <v>1265</v>
      </c>
      <c r="C1546" s="26" t="s">
        <v>1266</v>
      </c>
      <c r="D1546" s="26">
        <v>2003</v>
      </c>
      <c r="E1546" s="26">
        <v>1990</v>
      </c>
      <c r="F1546" s="26" t="s">
        <v>1267</v>
      </c>
      <c r="G1546" s="26" t="s">
        <v>1295</v>
      </c>
      <c r="H1546" s="26">
        <v>50.29</v>
      </c>
      <c r="I1546" s="26">
        <v>-107.8</v>
      </c>
      <c r="J1546" s="26">
        <v>757</v>
      </c>
      <c r="P1546" s="52">
        <v>3</v>
      </c>
      <c r="Q1546" s="52" t="s">
        <v>1264</v>
      </c>
      <c r="R1546" s="52" t="s">
        <v>1272</v>
      </c>
      <c r="S1546" s="52" t="s">
        <v>1575</v>
      </c>
      <c r="T1546" s="52" t="s">
        <v>1565</v>
      </c>
      <c r="U1546" s="52" t="s">
        <v>1593</v>
      </c>
      <c r="V1546" s="52" t="s">
        <v>1914</v>
      </c>
      <c r="W1546" s="26">
        <f t="shared" si="255"/>
        <v>1.4880000000000002</v>
      </c>
      <c r="Z1546" s="26" t="s">
        <v>167</v>
      </c>
      <c r="AD1546" s="26" t="s">
        <v>1519</v>
      </c>
      <c r="AE1546" s="26" t="s">
        <v>666</v>
      </c>
      <c r="AF1546" s="152" t="s">
        <v>666</v>
      </c>
      <c r="AG1546" s="26" t="s">
        <v>1716</v>
      </c>
      <c r="AH1546" s="154" t="s">
        <v>144</v>
      </c>
      <c r="AI1546" s="26" t="s">
        <v>1256</v>
      </c>
      <c r="AJ1546" s="26" t="s">
        <v>1256</v>
      </c>
      <c r="AK1546" s="26" t="s">
        <v>212</v>
      </c>
      <c r="AO1546" s="26" t="s">
        <v>1270</v>
      </c>
      <c r="AP1546" s="26" t="s">
        <v>1271</v>
      </c>
      <c r="AQ1546" s="26" t="s">
        <v>587</v>
      </c>
      <c r="AR1546" s="26" t="s">
        <v>1269</v>
      </c>
      <c r="AS1546" s="26">
        <v>3</v>
      </c>
      <c r="AT1546" s="26">
        <v>3</v>
      </c>
      <c r="AU1546" s="26" t="s">
        <v>169</v>
      </c>
      <c r="AZ1546" s="26" t="s">
        <v>1273</v>
      </c>
      <c r="BA1546" s="26">
        <v>4198</v>
      </c>
      <c r="BB1546" s="26">
        <v>1517</v>
      </c>
      <c r="BC1546" s="26" t="s">
        <v>1274</v>
      </c>
      <c r="BD1546" s="26">
        <v>2321</v>
      </c>
      <c r="BE1546" s="26">
        <v>1136</v>
      </c>
      <c r="BF1546" s="26" t="s">
        <v>1277</v>
      </c>
      <c r="BM1546" s="26">
        <f>168.6*0.056</f>
        <v>9.4415999999999993</v>
      </c>
      <c r="BN1546" s="26">
        <f>150.7*0.056</f>
        <v>8.4391999999999996</v>
      </c>
      <c r="BO1546" s="26" t="s">
        <v>1859</v>
      </c>
      <c r="DI1546" s="26">
        <v>277</v>
      </c>
      <c r="DJ1546" s="26">
        <v>214</v>
      </c>
      <c r="DK1546" s="26" t="s">
        <v>1279</v>
      </c>
      <c r="DL1546" s="26">
        <v>194</v>
      </c>
      <c r="DM1546" s="26">
        <v>131</v>
      </c>
      <c r="DN1546" s="26" t="s">
        <v>1278</v>
      </c>
      <c r="FR1546" s="26" t="s">
        <v>1277</v>
      </c>
      <c r="FT1546" s="26">
        <v>73</v>
      </c>
    </row>
    <row r="1547" spans="1:176" s="26" customFormat="1" x14ac:dyDescent="0.25">
      <c r="A1547" s="26">
        <v>73</v>
      </c>
      <c r="B1547" s="26" t="s">
        <v>1265</v>
      </c>
      <c r="C1547" s="26" t="s">
        <v>1266</v>
      </c>
      <c r="D1547" s="26">
        <v>2003</v>
      </c>
      <c r="E1547" s="26">
        <v>1991</v>
      </c>
      <c r="F1547" s="26" t="s">
        <v>1267</v>
      </c>
      <c r="G1547" s="26" t="s">
        <v>1295</v>
      </c>
      <c r="H1547" s="26">
        <v>50.29</v>
      </c>
      <c r="I1547" s="26">
        <v>-107.8</v>
      </c>
      <c r="J1547" s="26">
        <v>757</v>
      </c>
      <c r="P1547" s="52">
        <v>4</v>
      </c>
      <c r="Q1547" s="52" t="s">
        <v>1264</v>
      </c>
      <c r="R1547" s="52" t="s">
        <v>1272</v>
      </c>
      <c r="S1547" s="52" t="s">
        <v>1575</v>
      </c>
      <c r="T1547" s="52" t="s">
        <v>1565</v>
      </c>
      <c r="U1547" s="52" t="s">
        <v>1593</v>
      </c>
      <c r="V1547" s="52" t="s">
        <v>1914</v>
      </c>
      <c r="W1547" s="26">
        <f t="shared" si="255"/>
        <v>1.4880000000000002</v>
      </c>
      <c r="Z1547" s="26" t="s">
        <v>167</v>
      </c>
      <c r="AD1547" s="26" t="s">
        <v>1519</v>
      </c>
      <c r="AE1547" s="26" t="s">
        <v>666</v>
      </c>
      <c r="AF1547" s="152" t="s">
        <v>666</v>
      </c>
      <c r="AG1547" s="26" t="s">
        <v>1716</v>
      </c>
      <c r="AH1547" s="154" t="s">
        <v>144</v>
      </c>
      <c r="AI1547" s="26" t="s">
        <v>1256</v>
      </c>
      <c r="AJ1547" s="26" t="s">
        <v>1256</v>
      </c>
      <c r="AK1547" s="26" t="s">
        <v>212</v>
      </c>
      <c r="AO1547" s="26" t="s">
        <v>1270</v>
      </c>
      <c r="AP1547" s="26" t="s">
        <v>1271</v>
      </c>
      <c r="AQ1547" s="26" t="s">
        <v>587</v>
      </c>
      <c r="AR1547" s="26" t="s">
        <v>1269</v>
      </c>
      <c r="AS1547" s="26">
        <v>3</v>
      </c>
      <c r="AT1547" s="26">
        <v>3</v>
      </c>
      <c r="AU1547" s="26" t="s">
        <v>169</v>
      </c>
      <c r="AZ1547" s="26" t="s">
        <v>1273</v>
      </c>
      <c r="BA1547" s="26">
        <v>4598</v>
      </c>
      <c r="BB1547" s="26">
        <v>4374</v>
      </c>
      <c r="BC1547" s="26" t="s">
        <v>1274</v>
      </c>
      <c r="BD1547" s="26">
        <v>2478</v>
      </c>
      <c r="BE1547" s="26">
        <v>2270</v>
      </c>
      <c r="BF1547" s="26" t="s">
        <v>1277</v>
      </c>
      <c r="BM1547" s="26">
        <f>134.3*0.056</f>
        <v>7.5208000000000004</v>
      </c>
      <c r="BN1547" s="26">
        <f>170.6*0.056</f>
        <v>9.5535999999999994</v>
      </c>
      <c r="BO1547" s="26" t="s">
        <v>1859</v>
      </c>
      <c r="DI1547" s="26">
        <v>287</v>
      </c>
      <c r="DJ1547" s="26">
        <v>223</v>
      </c>
      <c r="DK1547" s="26" t="s">
        <v>1279</v>
      </c>
      <c r="DL1547" s="26">
        <v>204</v>
      </c>
      <c r="DM1547" s="26">
        <v>140</v>
      </c>
      <c r="DN1547" s="26" t="s">
        <v>1278</v>
      </c>
      <c r="FR1547" s="26" t="s">
        <v>1277</v>
      </c>
      <c r="FT1547" s="26">
        <v>73</v>
      </c>
    </row>
    <row r="1548" spans="1:176" s="26" customFormat="1" x14ac:dyDescent="0.25">
      <c r="A1548" s="26">
        <v>73</v>
      </c>
      <c r="B1548" s="26" t="s">
        <v>1265</v>
      </c>
      <c r="C1548" s="26" t="s">
        <v>1266</v>
      </c>
      <c r="D1548" s="26">
        <v>2003</v>
      </c>
      <c r="E1548" s="26">
        <v>1992</v>
      </c>
      <c r="F1548" s="26" t="s">
        <v>1267</v>
      </c>
      <c r="G1548" s="26" t="s">
        <v>1295</v>
      </c>
      <c r="H1548" s="26">
        <v>50.29</v>
      </c>
      <c r="I1548" s="26">
        <v>-107.8</v>
      </c>
      <c r="J1548" s="26">
        <v>757</v>
      </c>
      <c r="P1548" s="52">
        <v>5</v>
      </c>
      <c r="Q1548" s="52" t="s">
        <v>1264</v>
      </c>
      <c r="R1548" s="52" t="s">
        <v>1272</v>
      </c>
      <c r="S1548" s="52" t="s">
        <v>1575</v>
      </c>
      <c r="T1548" s="52" t="s">
        <v>1565</v>
      </c>
      <c r="U1548" s="52" t="s">
        <v>1593</v>
      </c>
      <c r="V1548" s="52" t="s">
        <v>1914</v>
      </c>
      <c r="W1548" s="26">
        <f t="shared" si="255"/>
        <v>1.4880000000000002</v>
      </c>
      <c r="Z1548" s="26" t="s">
        <v>167</v>
      </c>
      <c r="AD1548" s="26" t="s">
        <v>1519</v>
      </c>
      <c r="AE1548" s="26" t="s">
        <v>666</v>
      </c>
      <c r="AF1548" s="152" t="s">
        <v>666</v>
      </c>
      <c r="AG1548" s="26" t="s">
        <v>1716</v>
      </c>
      <c r="AH1548" s="154" t="s">
        <v>144</v>
      </c>
      <c r="AI1548" s="26" t="s">
        <v>1256</v>
      </c>
      <c r="AJ1548" s="26" t="s">
        <v>1256</v>
      </c>
      <c r="AK1548" s="26" t="s">
        <v>212</v>
      </c>
      <c r="AO1548" s="26" t="s">
        <v>1270</v>
      </c>
      <c r="AP1548" s="26" t="s">
        <v>1271</v>
      </c>
      <c r="AQ1548" s="26" t="s">
        <v>587</v>
      </c>
      <c r="AR1548" s="26" t="s">
        <v>1269</v>
      </c>
      <c r="AS1548" s="26">
        <v>3</v>
      </c>
      <c r="AT1548" s="26">
        <v>3</v>
      </c>
      <c r="AU1548" s="26" t="s">
        <v>169</v>
      </c>
      <c r="AZ1548" s="26" t="s">
        <v>1273</v>
      </c>
      <c r="BA1548" s="26">
        <v>4324</v>
      </c>
      <c r="BB1548" s="26">
        <v>3058</v>
      </c>
      <c r="BC1548" s="26" t="s">
        <v>1274</v>
      </c>
      <c r="BD1548" s="26">
        <v>2756</v>
      </c>
      <c r="BE1548" s="26">
        <v>2055</v>
      </c>
      <c r="BF1548" s="26" t="s">
        <v>1277</v>
      </c>
      <c r="BM1548" s="26">
        <f>77.4*0.056</f>
        <v>4.3344000000000005</v>
      </c>
      <c r="BN1548" s="26">
        <f>86.4*0.056</f>
        <v>4.8384</v>
      </c>
      <c r="BO1548" s="26" t="s">
        <v>1859</v>
      </c>
      <c r="DI1548" s="26">
        <v>281</v>
      </c>
      <c r="DJ1548" s="26">
        <v>218</v>
      </c>
      <c r="DK1548" s="26" t="s">
        <v>1279</v>
      </c>
      <c r="DL1548" s="26">
        <v>198</v>
      </c>
      <c r="DM1548" s="26">
        <v>135</v>
      </c>
      <c r="DN1548" s="26" t="s">
        <v>1278</v>
      </c>
      <c r="FR1548" s="26" t="s">
        <v>1277</v>
      </c>
      <c r="FT1548" s="26">
        <v>73</v>
      </c>
    </row>
    <row r="1549" spans="1:176" s="26" customFormat="1" x14ac:dyDescent="0.25">
      <c r="A1549" s="26">
        <v>73</v>
      </c>
      <c r="B1549" s="26" t="s">
        <v>1265</v>
      </c>
      <c r="C1549" s="26" t="s">
        <v>1266</v>
      </c>
      <c r="D1549" s="26">
        <v>2003</v>
      </c>
      <c r="E1549" s="26">
        <v>1993</v>
      </c>
      <c r="F1549" s="26" t="s">
        <v>1267</v>
      </c>
      <c r="G1549" s="26" t="s">
        <v>1295</v>
      </c>
      <c r="H1549" s="26">
        <v>50.29</v>
      </c>
      <c r="I1549" s="26">
        <v>-107.8</v>
      </c>
      <c r="J1549" s="26">
        <v>757</v>
      </c>
      <c r="P1549" s="52">
        <v>6</v>
      </c>
      <c r="Q1549" s="52" t="s">
        <v>1264</v>
      </c>
      <c r="R1549" s="52" t="s">
        <v>1272</v>
      </c>
      <c r="S1549" s="52" t="s">
        <v>1575</v>
      </c>
      <c r="T1549" s="52" t="s">
        <v>1565</v>
      </c>
      <c r="U1549" s="52" t="s">
        <v>1593</v>
      </c>
      <c r="V1549" s="52" t="s">
        <v>1914</v>
      </c>
      <c r="W1549" s="26">
        <f t="shared" si="255"/>
        <v>1.4880000000000002</v>
      </c>
      <c r="Z1549" s="26" t="s">
        <v>167</v>
      </c>
      <c r="AD1549" s="26" t="s">
        <v>1519</v>
      </c>
      <c r="AE1549" s="26" t="s">
        <v>666</v>
      </c>
      <c r="AF1549" s="152" t="s">
        <v>666</v>
      </c>
      <c r="AG1549" s="26" t="s">
        <v>1716</v>
      </c>
      <c r="AH1549" s="154" t="s">
        <v>144</v>
      </c>
      <c r="AI1549" s="26" t="s">
        <v>1256</v>
      </c>
      <c r="AJ1549" s="26" t="s">
        <v>1256</v>
      </c>
      <c r="AK1549" s="26" t="s">
        <v>212</v>
      </c>
      <c r="AO1549" s="26" t="s">
        <v>1270</v>
      </c>
      <c r="AP1549" s="26" t="s">
        <v>1271</v>
      </c>
      <c r="AQ1549" s="26" t="s">
        <v>587</v>
      </c>
      <c r="AR1549" s="26" t="s">
        <v>1269</v>
      </c>
      <c r="AS1549" s="26">
        <v>3</v>
      </c>
      <c r="AT1549" s="26">
        <v>3</v>
      </c>
      <c r="AU1549" s="26" t="s">
        <v>169</v>
      </c>
      <c r="AZ1549" s="26" t="s">
        <v>1273</v>
      </c>
      <c r="BA1549" s="26">
        <v>5476</v>
      </c>
      <c r="BB1549" s="26">
        <v>3918</v>
      </c>
      <c r="BC1549" s="26" t="s">
        <v>1274</v>
      </c>
      <c r="BD1549" s="26">
        <v>3362</v>
      </c>
      <c r="BE1549" s="26">
        <v>2533</v>
      </c>
      <c r="BF1549" s="26" t="s">
        <v>1277</v>
      </c>
      <c r="BM1549" s="26">
        <f>72*0.056</f>
        <v>4.032</v>
      </c>
      <c r="BN1549" s="26">
        <f>96.2*0.056</f>
        <v>5.3872</v>
      </c>
      <c r="BO1549" s="26" t="s">
        <v>1859</v>
      </c>
      <c r="DI1549" s="26">
        <v>300</v>
      </c>
      <c r="DJ1549" s="26">
        <v>238</v>
      </c>
      <c r="DK1549" s="26" t="s">
        <v>1279</v>
      </c>
      <c r="DL1549" s="26">
        <v>217</v>
      </c>
      <c r="DM1549" s="26">
        <v>155</v>
      </c>
      <c r="DN1549" s="26" t="s">
        <v>1278</v>
      </c>
      <c r="FR1549" s="26" t="s">
        <v>1277</v>
      </c>
      <c r="FT1549" s="26">
        <v>73</v>
      </c>
    </row>
    <row r="1550" spans="1:176" s="26" customFormat="1" x14ac:dyDescent="0.25">
      <c r="A1550" s="26">
        <v>73</v>
      </c>
      <c r="B1550" s="26" t="s">
        <v>1265</v>
      </c>
      <c r="C1550" s="26" t="s">
        <v>1266</v>
      </c>
      <c r="D1550" s="26">
        <v>2003</v>
      </c>
      <c r="E1550" s="26">
        <v>1994</v>
      </c>
      <c r="F1550" s="26" t="s">
        <v>1267</v>
      </c>
      <c r="G1550" s="26" t="s">
        <v>1295</v>
      </c>
      <c r="H1550" s="26">
        <v>50.29</v>
      </c>
      <c r="I1550" s="26">
        <v>-107.8</v>
      </c>
      <c r="J1550" s="26">
        <v>757</v>
      </c>
      <c r="P1550" s="52">
        <v>7</v>
      </c>
      <c r="Q1550" s="52" t="s">
        <v>1264</v>
      </c>
      <c r="R1550" s="52" t="s">
        <v>1272</v>
      </c>
      <c r="S1550" s="52" t="s">
        <v>1575</v>
      </c>
      <c r="T1550" s="52" t="s">
        <v>1565</v>
      </c>
      <c r="U1550" s="52" t="s">
        <v>1593</v>
      </c>
      <c r="V1550" s="52" t="s">
        <v>1914</v>
      </c>
      <c r="W1550" s="26">
        <f t="shared" si="255"/>
        <v>1.4880000000000002</v>
      </c>
      <c r="Z1550" s="26" t="s">
        <v>167</v>
      </c>
      <c r="AD1550" s="26" t="s">
        <v>1519</v>
      </c>
      <c r="AE1550" s="26" t="s">
        <v>666</v>
      </c>
      <c r="AF1550" s="152" t="s">
        <v>666</v>
      </c>
      <c r="AG1550" s="26" t="s">
        <v>1716</v>
      </c>
      <c r="AH1550" s="154" t="s">
        <v>144</v>
      </c>
      <c r="AI1550" s="26" t="s">
        <v>1256</v>
      </c>
      <c r="AJ1550" s="26" t="s">
        <v>1256</v>
      </c>
      <c r="AK1550" s="26" t="s">
        <v>212</v>
      </c>
      <c r="AO1550" s="26" t="s">
        <v>1270</v>
      </c>
      <c r="AP1550" s="26" t="s">
        <v>1271</v>
      </c>
      <c r="AQ1550" s="26" t="s">
        <v>587</v>
      </c>
      <c r="AR1550" s="26" t="s">
        <v>1269</v>
      </c>
      <c r="AS1550" s="26">
        <v>3</v>
      </c>
      <c r="AT1550" s="26">
        <v>3</v>
      </c>
      <c r="AU1550" s="26" t="s">
        <v>169</v>
      </c>
      <c r="AZ1550" s="26" t="s">
        <v>1273</v>
      </c>
      <c r="BA1550" s="26">
        <v>3968</v>
      </c>
      <c r="BB1550" s="26">
        <v>3837</v>
      </c>
      <c r="BC1550" s="26" t="s">
        <v>1274</v>
      </c>
      <c r="BD1550" s="26">
        <v>1992</v>
      </c>
      <c r="BE1550" s="26">
        <v>1817</v>
      </c>
      <c r="BF1550" s="26" t="s">
        <v>1277</v>
      </c>
      <c r="BM1550" s="26">
        <f>39.9*0.056</f>
        <v>2.2343999999999999</v>
      </c>
      <c r="BN1550" s="26">
        <f>67.3*0.056</f>
        <v>3.7687999999999997</v>
      </c>
      <c r="BO1550" s="26" t="s">
        <v>1859</v>
      </c>
      <c r="DI1550" s="26">
        <v>299</v>
      </c>
      <c r="DJ1550" s="26">
        <v>303</v>
      </c>
      <c r="DK1550" s="26" t="s">
        <v>1279</v>
      </c>
      <c r="DL1550" s="26">
        <v>216</v>
      </c>
      <c r="DM1550" s="26">
        <v>220</v>
      </c>
      <c r="DN1550" s="26" t="s">
        <v>1278</v>
      </c>
      <c r="FR1550" s="26" t="s">
        <v>1277</v>
      </c>
      <c r="FT1550" s="26">
        <v>73</v>
      </c>
    </row>
    <row r="1551" spans="1:176" s="26" customFormat="1" x14ac:dyDescent="0.25">
      <c r="A1551" s="26">
        <v>73</v>
      </c>
      <c r="B1551" s="26" t="s">
        <v>1265</v>
      </c>
      <c r="C1551" s="26" t="s">
        <v>1266</v>
      </c>
      <c r="D1551" s="26">
        <v>2003</v>
      </c>
      <c r="E1551" s="26">
        <v>1995</v>
      </c>
      <c r="F1551" s="26" t="s">
        <v>1267</v>
      </c>
      <c r="G1551" s="26" t="s">
        <v>1295</v>
      </c>
      <c r="H1551" s="26">
        <v>50.29</v>
      </c>
      <c r="I1551" s="26">
        <v>-107.8</v>
      </c>
      <c r="J1551" s="26">
        <v>757</v>
      </c>
      <c r="P1551" s="52">
        <v>8</v>
      </c>
      <c r="Q1551" s="52" t="s">
        <v>1264</v>
      </c>
      <c r="R1551" s="52" t="s">
        <v>1272</v>
      </c>
      <c r="S1551" s="52" t="s">
        <v>1575</v>
      </c>
      <c r="T1551" s="52" t="s">
        <v>1565</v>
      </c>
      <c r="U1551" s="52" t="s">
        <v>1593</v>
      </c>
      <c r="V1551" s="52" t="s">
        <v>1914</v>
      </c>
      <c r="W1551" s="26">
        <f t="shared" si="255"/>
        <v>1.4880000000000002</v>
      </c>
      <c r="Z1551" s="26" t="s">
        <v>167</v>
      </c>
      <c r="AD1551" s="26" t="s">
        <v>1519</v>
      </c>
      <c r="AE1551" s="26" t="s">
        <v>666</v>
      </c>
      <c r="AF1551" s="152" t="s">
        <v>666</v>
      </c>
      <c r="AG1551" s="26" t="s">
        <v>1716</v>
      </c>
      <c r="AH1551" s="154" t="s">
        <v>144</v>
      </c>
      <c r="AI1551" s="26" t="s">
        <v>1256</v>
      </c>
      <c r="AJ1551" s="26" t="s">
        <v>1256</v>
      </c>
      <c r="AK1551" s="26" t="s">
        <v>212</v>
      </c>
      <c r="AO1551" s="26" t="s">
        <v>1270</v>
      </c>
      <c r="AP1551" s="26" t="s">
        <v>1271</v>
      </c>
      <c r="AQ1551" s="26" t="s">
        <v>587</v>
      </c>
      <c r="AR1551" s="26" t="s">
        <v>1269</v>
      </c>
      <c r="AS1551" s="26">
        <v>3</v>
      </c>
      <c r="AT1551" s="26">
        <v>3</v>
      </c>
      <c r="AU1551" s="26" t="s">
        <v>169</v>
      </c>
      <c r="AZ1551" s="26" t="s">
        <v>1273</v>
      </c>
      <c r="BA1551" s="26">
        <v>6058</v>
      </c>
      <c r="BB1551" s="26">
        <v>6058</v>
      </c>
      <c r="BC1551" s="26" t="s">
        <v>1274</v>
      </c>
      <c r="BD1551" s="26">
        <v>3085</v>
      </c>
      <c r="BE1551" s="26">
        <v>3200</v>
      </c>
      <c r="BF1551" s="26" t="s">
        <v>1277</v>
      </c>
      <c r="BM1551" s="26">
        <f>68.7*0.056</f>
        <v>3.8472000000000004</v>
      </c>
      <c r="BN1551" s="26">
        <f>89.9*0.056</f>
        <v>5.0344000000000007</v>
      </c>
      <c r="BO1551" s="26" t="s">
        <v>1859</v>
      </c>
      <c r="DI1551" s="26">
        <v>305</v>
      </c>
      <c r="DJ1551" s="26">
        <v>274</v>
      </c>
      <c r="DK1551" s="26" t="s">
        <v>1279</v>
      </c>
      <c r="DL1551" s="26">
        <v>222</v>
      </c>
      <c r="DM1551" s="26">
        <v>191</v>
      </c>
      <c r="DN1551" s="26" t="s">
        <v>1278</v>
      </c>
      <c r="FR1551" s="26" t="s">
        <v>1277</v>
      </c>
      <c r="FT1551" s="26">
        <v>73</v>
      </c>
    </row>
    <row r="1552" spans="1:176" s="26" customFormat="1" x14ac:dyDescent="0.25">
      <c r="A1552" s="26">
        <v>73</v>
      </c>
      <c r="B1552" s="26" t="s">
        <v>1265</v>
      </c>
      <c r="C1552" s="26" t="s">
        <v>1266</v>
      </c>
      <c r="D1552" s="26">
        <v>2003</v>
      </c>
      <c r="E1552" s="26">
        <v>1996</v>
      </c>
      <c r="F1552" s="26" t="s">
        <v>1267</v>
      </c>
      <c r="G1552" s="26" t="s">
        <v>1295</v>
      </c>
      <c r="H1552" s="26">
        <v>50.29</v>
      </c>
      <c r="I1552" s="26">
        <v>-107.8</v>
      </c>
      <c r="J1552" s="26">
        <v>757</v>
      </c>
      <c r="P1552" s="52">
        <v>9</v>
      </c>
      <c r="Q1552" s="52" t="s">
        <v>1264</v>
      </c>
      <c r="R1552" s="52" t="s">
        <v>1272</v>
      </c>
      <c r="S1552" s="52" t="s">
        <v>1575</v>
      </c>
      <c r="T1552" s="52" t="s">
        <v>1565</v>
      </c>
      <c r="U1552" s="52" t="s">
        <v>1593</v>
      </c>
      <c r="V1552" s="52" t="s">
        <v>1914</v>
      </c>
      <c r="W1552" s="26">
        <f t="shared" si="255"/>
        <v>1.4880000000000002</v>
      </c>
      <c r="Z1552" s="26" t="s">
        <v>167</v>
      </c>
      <c r="AD1552" s="26" t="s">
        <v>1519</v>
      </c>
      <c r="AE1552" s="26" t="s">
        <v>666</v>
      </c>
      <c r="AF1552" s="152" t="s">
        <v>666</v>
      </c>
      <c r="AG1552" s="26" t="s">
        <v>1716</v>
      </c>
      <c r="AH1552" s="154" t="s">
        <v>144</v>
      </c>
      <c r="AI1552" s="26" t="s">
        <v>1256</v>
      </c>
      <c r="AJ1552" s="26" t="s">
        <v>1256</v>
      </c>
      <c r="AK1552" s="26" t="s">
        <v>212</v>
      </c>
      <c r="AO1552" s="26" t="s">
        <v>1270</v>
      </c>
      <c r="AP1552" s="26" t="s">
        <v>1271</v>
      </c>
      <c r="AQ1552" s="26" t="s">
        <v>587</v>
      </c>
      <c r="AR1552" s="26" t="s">
        <v>1269</v>
      </c>
      <c r="AS1552" s="26">
        <v>3</v>
      </c>
      <c r="AT1552" s="26">
        <v>3</v>
      </c>
      <c r="AU1552" s="26" t="s">
        <v>169</v>
      </c>
      <c r="AZ1552" s="26" t="s">
        <v>1273</v>
      </c>
      <c r="BA1552" s="26">
        <v>4721</v>
      </c>
      <c r="BB1552" s="26">
        <v>4728</v>
      </c>
      <c r="BC1552" s="26" t="s">
        <v>1274</v>
      </c>
      <c r="BD1552" s="26">
        <v>2395</v>
      </c>
      <c r="BE1552" s="26">
        <v>2501</v>
      </c>
      <c r="BF1552" s="26" t="s">
        <v>1277</v>
      </c>
      <c r="BM1552" s="26">
        <f>64.8*0.056</f>
        <v>3.6288</v>
      </c>
      <c r="BN1552" s="26">
        <f>119.1*0.056</f>
        <v>6.6696</v>
      </c>
      <c r="BO1552" s="26" t="s">
        <v>1859</v>
      </c>
      <c r="DI1552" s="26">
        <v>325</v>
      </c>
      <c r="DJ1552" s="26">
        <v>316</v>
      </c>
      <c r="DK1552" s="26" t="s">
        <v>1279</v>
      </c>
      <c r="DL1552" s="26">
        <v>242</v>
      </c>
      <c r="DM1552" s="26">
        <v>233</v>
      </c>
      <c r="DN1552" s="26" t="s">
        <v>1278</v>
      </c>
      <c r="FR1552" s="26" t="s">
        <v>1277</v>
      </c>
      <c r="FT1552" s="26">
        <v>73</v>
      </c>
    </row>
    <row r="1553" spans="1:176" s="26" customFormat="1" x14ac:dyDescent="0.25">
      <c r="A1553" s="26">
        <v>73</v>
      </c>
      <c r="B1553" s="26" t="s">
        <v>1265</v>
      </c>
      <c r="C1553" s="26" t="s">
        <v>1266</v>
      </c>
      <c r="D1553" s="26">
        <v>2003</v>
      </c>
      <c r="E1553" s="26">
        <v>1997</v>
      </c>
      <c r="F1553" s="26" t="s">
        <v>1267</v>
      </c>
      <c r="G1553" s="26" t="s">
        <v>1295</v>
      </c>
      <c r="H1553" s="26">
        <v>50.29</v>
      </c>
      <c r="I1553" s="26">
        <v>-107.8</v>
      </c>
      <c r="J1553" s="26">
        <v>757</v>
      </c>
      <c r="P1553" s="52">
        <v>10</v>
      </c>
      <c r="Q1553" s="52" t="s">
        <v>1264</v>
      </c>
      <c r="R1553" s="52" t="s">
        <v>1272</v>
      </c>
      <c r="S1553" s="52" t="s">
        <v>1575</v>
      </c>
      <c r="T1553" s="52" t="s">
        <v>1565</v>
      </c>
      <c r="U1553" s="52" t="s">
        <v>1593</v>
      </c>
      <c r="V1553" s="52" t="s">
        <v>1914</v>
      </c>
      <c r="W1553" s="26">
        <f t="shared" si="255"/>
        <v>1.4880000000000002</v>
      </c>
      <c r="Z1553" s="26" t="s">
        <v>167</v>
      </c>
      <c r="AD1553" s="26" t="s">
        <v>1519</v>
      </c>
      <c r="AE1553" s="26" t="s">
        <v>666</v>
      </c>
      <c r="AF1553" s="152" t="s">
        <v>666</v>
      </c>
      <c r="AG1553" s="26" t="s">
        <v>1716</v>
      </c>
      <c r="AH1553" s="154" t="s">
        <v>144</v>
      </c>
      <c r="AI1553" s="26" t="s">
        <v>1256</v>
      </c>
      <c r="AJ1553" s="26" t="s">
        <v>1256</v>
      </c>
      <c r="AK1553" s="26" t="s">
        <v>212</v>
      </c>
      <c r="AO1553" s="26" t="s">
        <v>1270</v>
      </c>
      <c r="AP1553" s="26" t="s">
        <v>1271</v>
      </c>
      <c r="AQ1553" s="26" t="s">
        <v>587</v>
      </c>
      <c r="AR1553" s="26" t="s">
        <v>1269</v>
      </c>
      <c r="AS1553" s="26">
        <v>3</v>
      </c>
      <c r="AT1553" s="26">
        <v>3</v>
      </c>
      <c r="AU1553" s="26" t="s">
        <v>169</v>
      </c>
      <c r="AZ1553" s="26" t="s">
        <v>1273</v>
      </c>
      <c r="BA1553" s="26">
        <v>4439</v>
      </c>
      <c r="BB1553" s="26">
        <v>5034</v>
      </c>
      <c r="BC1553" s="26" t="s">
        <v>1274</v>
      </c>
      <c r="BD1553" s="26">
        <v>2998</v>
      </c>
      <c r="BE1553" s="26">
        <v>3155</v>
      </c>
      <c r="BF1553" s="26" t="s">
        <v>1277</v>
      </c>
      <c r="BM1553" s="26">
        <f>66.2*0.056</f>
        <v>3.7072000000000003</v>
      </c>
      <c r="BN1553" s="26">
        <f>89.7*0.056</f>
        <v>5.0232000000000001</v>
      </c>
      <c r="BO1553" s="26" t="s">
        <v>1859</v>
      </c>
      <c r="DI1553" s="26">
        <v>324</v>
      </c>
      <c r="DJ1553" s="26">
        <v>322</v>
      </c>
      <c r="DK1553" s="26" t="s">
        <v>1279</v>
      </c>
      <c r="DL1553" s="26">
        <v>241</v>
      </c>
      <c r="DM1553" s="26">
        <v>239</v>
      </c>
      <c r="DN1553" s="26" t="s">
        <v>1278</v>
      </c>
      <c r="FR1553" s="26" t="s">
        <v>1277</v>
      </c>
      <c r="FT1553" s="26">
        <v>73</v>
      </c>
    </row>
    <row r="1554" spans="1:176" s="26" customFormat="1" x14ac:dyDescent="0.25">
      <c r="A1554" s="26">
        <v>73</v>
      </c>
      <c r="B1554" s="26" t="s">
        <v>1265</v>
      </c>
      <c r="C1554" s="26" t="s">
        <v>1266</v>
      </c>
      <c r="D1554" s="26">
        <v>2003</v>
      </c>
      <c r="E1554" s="26">
        <v>1998</v>
      </c>
      <c r="F1554" s="26" t="s">
        <v>1267</v>
      </c>
      <c r="G1554" s="26" t="s">
        <v>1295</v>
      </c>
      <c r="H1554" s="26">
        <v>50.29</v>
      </c>
      <c r="I1554" s="26">
        <v>-107.8</v>
      </c>
      <c r="J1554" s="26">
        <v>757</v>
      </c>
      <c r="P1554" s="52">
        <v>11</v>
      </c>
      <c r="Q1554" s="52" t="s">
        <v>1264</v>
      </c>
      <c r="R1554" s="52" t="s">
        <v>1272</v>
      </c>
      <c r="S1554" s="52" t="s">
        <v>1575</v>
      </c>
      <c r="T1554" s="52" t="s">
        <v>1565</v>
      </c>
      <c r="U1554" s="52" t="s">
        <v>1593</v>
      </c>
      <c r="V1554" s="52" t="s">
        <v>1914</v>
      </c>
      <c r="W1554" s="26">
        <f t="shared" si="255"/>
        <v>1.4880000000000002</v>
      </c>
      <c r="Z1554" s="26" t="s">
        <v>167</v>
      </c>
      <c r="AD1554" s="26" t="s">
        <v>1519</v>
      </c>
      <c r="AE1554" s="26" t="s">
        <v>666</v>
      </c>
      <c r="AF1554" s="152" t="s">
        <v>666</v>
      </c>
      <c r="AG1554" s="26" t="s">
        <v>1716</v>
      </c>
      <c r="AH1554" s="154" t="s">
        <v>144</v>
      </c>
      <c r="AI1554" s="26" t="s">
        <v>1256</v>
      </c>
      <c r="AJ1554" s="26" t="s">
        <v>1256</v>
      </c>
      <c r="AK1554" s="26" t="s">
        <v>212</v>
      </c>
      <c r="AO1554" s="26" t="s">
        <v>1270</v>
      </c>
      <c r="AP1554" s="26" t="s">
        <v>1271</v>
      </c>
      <c r="AQ1554" s="26" t="s">
        <v>587</v>
      </c>
      <c r="AR1554" s="26" t="s">
        <v>1269</v>
      </c>
      <c r="AS1554" s="26">
        <v>3</v>
      </c>
      <c r="AT1554" s="26">
        <v>3</v>
      </c>
      <c r="AU1554" s="26" t="s">
        <v>169</v>
      </c>
      <c r="AZ1554" s="26" t="s">
        <v>1273</v>
      </c>
      <c r="BA1554" s="26">
        <v>4414</v>
      </c>
      <c r="BB1554" s="26">
        <v>3843</v>
      </c>
      <c r="BC1554" s="26" t="s">
        <v>1274</v>
      </c>
      <c r="BD1554" s="26">
        <v>2587</v>
      </c>
      <c r="BE1554" s="26">
        <v>2290</v>
      </c>
      <c r="BF1554" s="26" t="s">
        <v>1277</v>
      </c>
      <c r="BM1554" s="26">
        <f>105*0.056</f>
        <v>5.88</v>
      </c>
      <c r="BN1554" s="26">
        <f>139.3*0.056</f>
        <v>7.8008000000000006</v>
      </c>
      <c r="BO1554" s="26" t="s">
        <v>1859</v>
      </c>
      <c r="DI1554" s="26">
        <v>270</v>
      </c>
      <c r="DJ1554" s="26">
        <v>248</v>
      </c>
      <c r="DK1554" s="26" t="s">
        <v>1279</v>
      </c>
      <c r="DL1554" s="26">
        <v>187</v>
      </c>
      <c r="DM1554" s="26">
        <v>165</v>
      </c>
      <c r="DN1554" s="26" t="s">
        <v>1278</v>
      </c>
      <c r="FR1554" s="26" t="s">
        <v>1277</v>
      </c>
      <c r="FT1554" s="26">
        <v>73</v>
      </c>
    </row>
    <row r="1555" spans="1:176" s="26" customFormat="1" x14ac:dyDescent="0.25">
      <c r="A1555" s="26">
        <v>73</v>
      </c>
      <c r="B1555" s="26" t="s">
        <v>1265</v>
      </c>
      <c r="C1555" s="26" t="s">
        <v>1266</v>
      </c>
      <c r="D1555" s="26">
        <v>2003</v>
      </c>
      <c r="E1555" s="26">
        <v>1999</v>
      </c>
      <c r="F1555" s="26" t="s">
        <v>1267</v>
      </c>
      <c r="G1555" s="26" t="s">
        <v>1295</v>
      </c>
      <c r="H1555" s="26">
        <v>50.29</v>
      </c>
      <c r="I1555" s="26">
        <v>-107.8</v>
      </c>
      <c r="J1555" s="26">
        <v>757</v>
      </c>
      <c r="P1555" s="52">
        <v>12</v>
      </c>
      <c r="Q1555" s="52" t="s">
        <v>1264</v>
      </c>
      <c r="R1555" s="52" t="s">
        <v>1272</v>
      </c>
      <c r="S1555" s="52" t="s">
        <v>1575</v>
      </c>
      <c r="T1555" s="52" t="s">
        <v>1565</v>
      </c>
      <c r="U1555" s="52" t="s">
        <v>1593</v>
      </c>
      <c r="V1555" s="52" t="s">
        <v>1914</v>
      </c>
      <c r="W1555" s="26">
        <f t="shared" si="255"/>
        <v>1.4880000000000002</v>
      </c>
      <c r="Z1555" s="26" t="s">
        <v>167</v>
      </c>
      <c r="AD1555" s="26" t="s">
        <v>1519</v>
      </c>
      <c r="AE1555" s="26" t="s">
        <v>666</v>
      </c>
      <c r="AF1555" s="152" t="s">
        <v>666</v>
      </c>
      <c r="AG1555" s="26" t="s">
        <v>1716</v>
      </c>
      <c r="AH1555" s="154" t="s">
        <v>144</v>
      </c>
      <c r="AI1555" s="26" t="s">
        <v>1256</v>
      </c>
      <c r="AJ1555" s="26" t="s">
        <v>1256</v>
      </c>
      <c r="AK1555" s="26" t="s">
        <v>212</v>
      </c>
      <c r="AO1555" s="26" t="s">
        <v>1270</v>
      </c>
      <c r="AP1555" s="26" t="s">
        <v>1271</v>
      </c>
      <c r="AQ1555" s="26" t="s">
        <v>587</v>
      </c>
      <c r="AR1555" s="26" t="s">
        <v>1269</v>
      </c>
      <c r="AS1555" s="26">
        <v>3</v>
      </c>
      <c r="AT1555" s="26">
        <v>3</v>
      </c>
      <c r="AU1555" s="26" t="s">
        <v>169</v>
      </c>
      <c r="AZ1555" s="26" t="s">
        <v>1273</v>
      </c>
      <c r="BA1555" s="26">
        <v>5728</v>
      </c>
      <c r="BB1555" s="26">
        <v>5114</v>
      </c>
      <c r="BC1555" s="26" t="s">
        <v>1274</v>
      </c>
      <c r="BD1555" s="26">
        <v>3574</v>
      </c>
      <c r="BE1555" s="26">
        <v>2876</v>
      </c>
      <c r="BF1555" s="26" t="s">
        <v>1277</v>
      </c>
      <c r="BM1555" s="26">
        <f>92.2*0.056</f>
        <v>5.1632000000000007</v>
      </c>
      <c r="BN1555" s="26">
        <f>109.2*0.056</f>
        <v>6.1152000000000006</v>
      </c>
      <c r="BO1555" s="26" t="s">
        <v>1859</v>
      </c>
      <c r="DI1555" s="26">
        <v>300</v>
      </c>
      <c r="DJ1555" s="26">
        <v>228</v>
      </c>
      <c r="DK1555" s="26" t="s">
        <v>1279</v>
      </c>
      <c r="DL1555" s="26">
        <v>217</v>
      </c>
      <c r="DM1555" s="26">
        <v>145</v>
      </c>
      <c r="DN1555" s="26" t="s">
        <v>1278</v>
      </c>
      <c r="FR1555" s="26" t="s">
        <v>1277</v>
      </c>
      <c r="FT1555" s="26">
        <v>73</v>
      </c>
    </row>
    <row r="1556" spans="1:176" s="35" customFormat="1" x14ac:dyDescent="0.25">
      <c r="A1556" s="35">
        <v>73</v>
      </c>
      <c r="B1556" s="35" t="s">
        <v>1265</v>
      </c>
      <c r="C1556" s="35" t="s">
        <v>1266</v>
      </c>
      <c r="D1556" s="35">
        <v>2003</v>
      </c>
      <c r="E1556" s="35">
        <v>1988</v>
      </c>
      <c r="F1556" s="35" t="s">
        <v>1267</v>
      </c>
      <c r="G1556" s="35" t="s">
        <v>1295</v>
      </c>
      <c r="H1556" s="35">
        <v>50.29</v>
      </c>
      <c r="I1556" s="35">
        <v>-107.8</v>
      </c>
      <c r="J1556" s="35">
        <v>757</v>
      </c>
      <c r="P1556" s="54">
        <v>1</v>
      </c>
      <c r="Q1556" s="54" t="s">
        <v>1264</v>
      </c>
      <c r="R1556" s="54" t="s">
        <v>1272</v>
      </c>
      <c r="S1556" s="54" t="s">
        <v>1575</v>
      </c>
      <c r="T1556" s="54" t="s">
        <v>1565</v>
      </c>
      <c r="U1556" s="54" t="s">
        <v>1593</v>
      </c>
      <c r="V1556" s="54" t="s">
        <v>1914</v>
      </c>
      <c r="W1556" s="35">
        <v>1.4880000000000002</v>
      </c>
      <c r="Z1556" s="35" t="s">
        <v>167</v>
      </c>
      <c r="AD1556" s="35" t="s">
        <v>1519</v>
      </c>
      <c r="AE1556" s="35" t="s">
        <v>666</v>
      </c>
      <c r="AF1556" s="152" t="s">
        <v>666</v>
      </c>
      <c r="AG1556" s="35" t="s">
        <v>1716</v>
      </c>
      <c r="AH1556" s="154" t="s">
        <v>144</v>
      </c>
      <c r="AI1556" s="35" t="s">
        <v>1256</v>
      </c>
      <c r="AJ1556" s="35" t="s">
        <v>1256</v>
      </c>
      <c r="AK1556" s="35" t="s">
        <v>212</v>
      </c>
      <c r="AO1556" s="35" t="s">
        <v>1270</v>
      </c>
      <c r="AP1556" s="35" t="s">
        <v>1271</v>
      </c>
      <c r="AQ1556" s="35" t="s">
        <v>587</v>
      </c>
      <c r="AR1556" s="35" t="s">
        <v>1269</v>
      </c>
      <c r="AS1556" s="35">
        <v>3</v>
      </c>
      <c r="AT1556" s="35">
        <v>3</v>
      </c>
      <c r="AU1556" s="35" t="s">
        <v>169</v>
      </c>
      <c r="AZ1556" s="35" t="s">
        <v>1280</v>
      </c>
      <c r="BA1556" s="35">
        <v>794</v>
      </c>
      <c r="BB1556" s="35">
        <v>745</v>
      </c>
      <c r="BC1556" s="35" t="s">
        <v>1274</v>
      </c>
      <c r="BD1556" s="35">
        <v>420</v>
      </c>
      <c r="BE1556" s="35">
        <v>407</v>
      </c>
      <c r="BF1556" s="35" t="s">
        <v>1277</v>
      </c>
      <c r="DI1556" s="35">
        <v>188</v>
      </c>
      <c r="DJ1556" s="35">
        <v>179</v>
      </c>
      <c r="DK1556" s="35" t="s">
        <v>1279</v>
      </c>
      <c r="DL1556" s="35">
        <v>105</v>
      </c>
      <c r="DM1556" s="35">
        <v>96</v>
      </c>
      <c r="DN1556" s="35" t="s">
        <v>1278</v>
      </c>
      <c r="FR1556" s="35" t="s">
        <v>1277</v>
      </c>
      <c r="FT1556" s="35">
        <v>73</v>
      </c>
    </row>
    <row r="1557" spans="1:176" s="35" customFormat="1" x14ac:dyDescent="0.25">
      <c r="A1557" s="35">
        <v>73</v>
      </c>
      <c r="B1557" s="35" t="s">
        <v>1265</v>
      </c>
      <c r="C1557" s="35" t="s">
        <v>1266</v>
      </c>
      <c r="D1557" s="35">
        <v>2003</v>
      </c>
      <c r="E1557" s="35">
        <v>1989</v>
      </c>
      <c r="F1557" s="35" t="s">
        <v>1267</v>
      </c>
      <c r="G1557" s="35" t="s">
        <v>1295</v>
      </c>
      <c r="H1557" s="35">
        <v>50.29</v>
      </c>
      <c r="I1557" s="35">
        <v>-107.8</v>
      </c>
      <c r="J1557" s="35">
        <v>757</v>
      </c>
      <c r="P1557" s="54">
        <v>2</v>
      </c>
      <c r="Q1557" s="54" t="s">
        <v>1264</v>
      </c>
      <c r="R1557" s="54" t="s">
        <v>1272</v>
      </c>
      <c r="S1557" s="54" t="s">
        <v>1575</v>
      </c>
      <c r="T1557" s="54" t="s">
        <v>1565</v>
      </c>
      <c r="U1557" s="54" t="s">
        <v>1593</v>
      </c>
      <c r="V1557" s="54" t="s">
        <v>1914</v>
      </c>
      <c r="W1557" s="35">
        <v>1.4880000000000002</v>
      </c>
      <c r="Z1557" s="35" t="s">
        <v>167</v>
      </c>
      <c r="AD1557" s="35" t="s">
        <v>1519</v>
      </c>
      <c r="AE1557" s="35" t="s">
        <v>666</v>
      </c>
      <c r="AF1557" s="152" t="s">
        <v>666</v>
      </c>
      <c r="AG1557" s="35" t="s">
        <v>1716</v>
      </c>
      <c r="AH1557" s="154" t="s">
        <v>144</v>
      </c>
      <c r="AI1557" s="35" t="s">
        <v>1256</v>
      </c>
      <c r="AJ1557" s="35" t="s">
        <v>1256</v>
      </c>
      <c r="AK1557" s="35" t="s">
        <v>212</v>
      </c>
      <c r="AO1557" s="35" t="s">
        <v>1270</v>
      </c>
      <c r="AP1557" s="35" t="s">
        <v>1271</v>
      </c>
      <c r="AQ1557" s="35" t="s">
        <v>587</v>
      </c>
      <c r="AR1557" s="35" t="s">
        <v>1269</v>
      </c>
      <c r="AS1557" s="35">
        <v>3</v>
      </c>
      <c r="AT1557" s="35">
        <v>3</v>
      </c>
      <c r="AU1557" s="35" t="s">
        <v>169</v>
      </c>
      <c r="AZ1557" s="35" t="s">
        <v>1280</v>
      </c>
      <c r="BA1557" s="35">
        <v>2732</v>
      </c>
      <c r="BB1557" s="35">
        <v>2926</v>
      </c>
      <c r="BC1557" s="35" t="s">
        <v>1274</v>
      </c>
      <c r="BD1557" s="35">
        <v>1655</v>
      </c>
      <c r="BE1557" s="35">
        <v>1738</v>
      </c>
      <c r="BF1557" s="35" t="s">
        <v>1277</v>
      </c>
      <c r="DI1557" s="35">
        <v>191</v>
      </c>
      <c r="DJ1557" s="35">
        <v>198</v>
      </c>
      <c r="DK1557" s="35" t="s">
        <v>1279</v>
      </c>
      <c r="DL1557" s="35">
        <v>108</v>
      </c>
      <c r="DM1557" s="35">
        <v>115</v>
      </c>
      <c r="DN1557" s="35" t="s">
        <v>1278</v>
      </c>
      <c r="FR1557" s="35" t="s">
        <v>1277</v>
      </c>
      <c r="FT1557" s="35">
        <v>73</v>
      </c>
    </row>
    <row r="1558" spans="1:176" s="35" customFormat="1" x14ac:dyDescent="0.25">
      <c r="A1558" s="35">
        <v>73</v>
      </c>
      <c r="B1558" s="35" t="s">
        <v>1265</v>
      </c>
      <c r="C1558" s="35" t="s">
        <v>1266</v>
      </c>
      <c r="D1558" s="35">
        <v>2003</v>
      </c>
      <c r="E1558" s="35">
        <v>1990</v>
      </c>
      <c r="F1558" s="35" t="s">
        <v>1267</v>
      </c>
      <c r="G1558" s="35" t="s">
        <v>1295</v>
      </c>
      <c r="H1558" s="35">
        <v>50.29</v>
      </c>
      <c r="I1558" s="35">
        <v>-107.8</v>
      </c>
      <c r="J1558" s="35">
        <v>757</v>
      </c>
      <c r="P1558" s="54">
        <v>3</v>
      </c>
      <c r="Q1558" s="54" t="s">
        <v>1264</v>
      </c>
      <c r="R1558" s="54" t="s">
        <v>1272</v>
      </c>
      <c r="S1558" s="54" t="s">
        <v>1575</v>
      </c>
      <c r="T1558" s="54" t="s">
        <v>1565</v>
      </c>
      <c r="U1558" s="54" t="s">
        <v>1593</v>
      </c>
      <c r="V1558" s="54" t="s">
        <v>1914</v>
      </c>
      <c r="W1558" s="35">
        <v>1.4880000000000002</v>
      </c>
      <c r="Z1558" s="35" t="s">
        <v>167</v>
      </c>
      <c r="AD1558" s="35" t="s">
        <v>1519</v>
      </c>
      <c r="AE1558" s="35" t="s">
        <v>666</v>
      </c>
      <c r="AF1558" s="152" t="s">
        <v>666</v>
      </c>
      <c r="AG1558" s="35" t="s">
        <v>1716</v>
      </c>
      <c r="AH1558" s="154" t="s">
        <v>144</v>
      </c>
      <c r="AI1558" s="35" t="s">
        <v>1256</v>
      </c>
      <c r="AJ1558" s="35" t="s">
        <v>1256</v>
      </c>
      <c r="AK1558" s="35" t="s">
        <v>212</v>
      </c>
      <c r="AO1558" s="35" t="s">
        <v>1270</v>
      </c>
      <c r="AP1558" s="35" t="s">
        <v>1271</v>
      </c>
      <c r="AQ1558" s="35" t="s">
        <v>587</v>
      </c>
      <c r="AR1558" s="35" t="s">
        <v>1269</v>
      </c>
      <c r="AS1558" s="35">
        <v>3</v>
      </c>
      <c r="AT1558" s="35">
        <v>3</v>
      </c>
      <c r="AU1558" s="35" t="s">
        <v>169</v>
      </c>
      <c r="AZ1558" s="35" t="s">
        <v>1280</v>
      </c>
      <c r="BA1558" s="35">
        <v>2395</v>
      </c>
      <c r="BB1558" s="35">
        <v>2729</v>
      </c>
      <c r="BC1558" s="35" t="s">
        <v>1274</v>
      </c>
      <c r="BD1558" s="35">
        <v>1778</v>
      </c>
      <c r="BE1558" s="35">
        <v>1879</v>
      </c>
      <c r="BF1558" s="35" t="s">
        <v>1277</v>
      </c>
      <c r="DI1558" s="35">
        <v>231</v>
      </c>
      <c r="DJ1558" s="35">
        <v>244</v>
      </c>
      <c r="DK1558" s="35" t="s">
        <v>1279</v>
      </c>
      <c r="DL1558" s="35">
        <v>148</v>
      </c>
      <c r="DM1558" s="35">
        <v>161</v>
      </c>
      <c r="DN1558" s="35" t="s">
        <v>1278</v>
      </c>
      <c r="FR1558" s="35" t="s">
        <v>1277</v>
      </c>
      <c r="FT1558" s="35">
        <v>73</v>
      </c>
    </row>
    <row r="1559" spans="1:176" s="35" customFormat="1" x14ac:dyDescent="0.25">
      <c r="A1559" s="35">
        <v>73</v>
      </c>
      <c r="B1559" s="35" t="s">
        <v>1265</v>
      </c>
      <c r="C1559" s="35" t="s">
        <v>1266</v>
      </c>
      <c r="D1559" s="35">
        <v>2003</v>
      </c>
      <c r="E1559" s="35">
        <v>1991</v>
      </c>
      <c r="F1559" s="35" t="s">
        <v>1267</v>
      </c>
      <c r="G1559" s="35" t="s">
        <v>1295</v>
      </c>
      <c r="H1559" s="35">
        <v>50.29</v>
      </c>
      <c r="I1559" s="35">
        <v>-107.8</v>
      </c>
      <c r="J1559" s="35">
        <v>757</v>
      </c>
      <c r="P1559" s="54">
        <v>4</v>
      </c>
      <c r="Q1559" s="54" t="s">
        <v>1264</v>
      </c>
      <c r="R1559" s="54" t="s">
        <v>1272</v>
      </c>
      <c r="S1559" s="54" t="s">
        <v>1575</v>
      </c>
      <c r="T1559" s="54" t="s">
        <v>1565</v>
      </c>
      <c r="U1559" s="54" t="s">
        <v>1593</v>
      </c>
      <c r="V1559" s="54" t="s">
        <v>1914</v>
      </c>
      <c r="W1559" s="35">
        <v>1.4880000000000002</v>
      </c>
      <c r="Z1559" s="35" t="s">
        <v>167</v>
      </c>
      <c r="AD1559" s="35" t="s">
        <v>1519</v>
      </c>
      <c r="AE1559" s="35" t="s">
        <v>666</v>
      </c>
      <c r="AF1559" s="152" t="s">
        <v>666</v>
      </c>
      <c r="AG1559" s="35" t="s">
        <v>1716</v>
      </c>
      <c r="AH1559" s="154" t="s">
        <v>144</v>
      </c>
      <c r="AI1559" s="35" t="s">
        <v>1256</v>
      </c>
      <c r="AJ1559" s="35" t="s">
        <v>1256</v>
      </c>
      <c r="AK1559" s="35" t="s">
        <v>212</v>
      </c>
      <c r="AO1559" s="35" t="s">
        <v>1270</v>
      </c>
      <c r="AP1559" s="35" t="s">
        <v>1271</v>
      </c>
      <c r="AQ1559" s="35" t="s">
        <v>587</v>
      </c>
      <c r="AR1559" s="35" t="s">
        <v>1269</v>
      </c>
      <c r="AS1559" s="35">
        <v>3</v>
      </c>
      <c r="AT1559" s="35">
        <v>3</v>
      </c>
      <c r="AU1559" s="35" t="s">
        <v>169</v>
      </c>
      <c r="AZ1559" s="35" t="s">
        <v>1280</v>
      </c>
      <c r="BA1559" s="35">
        <v>4339</v>
      </c>
      <c r="BB1559" s="35">
        <v>4550</v>
      </c>
      <c r="BC1559" s="35" t="s">
        <v>1274</v>
      </c>
      <c r="BD1559" s="35">
        <v>2581</v>
      </c>
      <c r="BE1559" s="35">
        <v>2638</v>
      </c>
      <c r="BF1559" s="35" t="s">
        <v>1277</v>
      </c>
      <c r="DI1559" s="35">
        <v>260</v>
      </c>
      <c r="DJ1559" s="35">
        <v>257</v>
      </c>
      <c r="DK1559" s="35" t="s">
        <v>1279</v>
      </c>
      <c r="DL1559" s="35">
        <v>177</v>
      </c>
      <c r="DM1559" s="35">
        <v>174</v>
      </c>
      <c r="DN1559" s="35" t="s">
        <v>1278</v>
      </c>
      <c r="FR1559" s="35" t="s">
        <v>1277</v>
      </c>
      <c r="FT1559" s="35">
        <v>73</v>
      </c>
    </row>
    <row r="1560" spans="1:176" s="35" customFormat="1" x14ac:dyDescent="0.25">
      <c r="A1560" s="35">
        <v>73</v>
      </c>
      <c r="B1560" s="35" t="s">
        <v>1265</v>
      </c>
      <c r="C1560" s="35" t="s">
        <v>1266</v>
      </c>
      <c r="D1560" s="35">
        <v>2003</v>
      </c>
      <c r="E1560" s="35">
        <v>1992</v>
      </c>
      <c r="F1560" s="35" t="s">
        <v>1267</v>
      </c>
      <c r="G1560" s="35" t="s">
        <v>1295</v>
      </c>
      <c r="H1560" s="35">
        <v>50.29</v>
      </c>
      <c r="I1560" s="35">
        <v>-107.8</v>
      </c>
      <c r="J1560" s="35">
        <v>757</v>
      </c>
      <c r="P1560" s="54">
        <v>5</v>
      </c>
      <c r="Q1560" s="54" t="s">
        <v>1264</v>
      </c>
      <c r="R1560" s="54" t="s">
        <v>1272</v>
      </c>
      <c r="S1560" s="54" t="s">
        <v>1575</v>
      </c>
      <c r="T1560" s="54" t="s">
        <v>1565</v>
      </c>
      <c r="U1560" s="54" t="s">
        <v>1593</v>
      </c>
      <c r="V1560" s="54" t="s">
        <v>1914</v>
      </c>
      <c r="W1560" s="35">
        <v>1.4880000000000002</v>
      </c>
      <c r="Z1560" s="35" t="s">
        <v>167</v>
      </c>
      <c r="AD1560" s="35" t="s">
        <v>1519</v>
      </c>
      <c r="AE1560" s="35" t="s">
        <v>666</v>
      </c>
      <c r="AF1560" s="152" t="s">
        <v>666</v>
      </c>
      <c r="AG1560" s="35" t="s">
        <v>1716</v>
      </c>
      <c r="AH1560" s="154" t="s">
        <v>144</v>
      </c>
      <c r="AI1560" s="35" t="s">
        <v>1256</v>
      </c>
      <c r="AJ1560" s="35" t="s">
        <v>1256</v>
      </c>
      <c r="AK1560" s="35" t="s">
        <v>212</v>
      </c>
      <c r="AO1560" s="35" t="s">
        <v>1270</v>
      </c>
      <c r="AP1560" s="35" t="s">
        <v>1271</v>
      </c>
      <c r="AQ1560" s="35" t="s">
        <v>587</v>
      </c>
      <c r="AR1560" s="35" t="s">
        <v>1269</v>
      </c>
      <c r="AS1560" s="35">
        <v>3</v>
      </c>
      <c r="AT1560" s="35">
        <v>3</v>
      </c>
      <c r="AU1560" s="35" t="s">
        <v>169</v>
      </c>
      <c r="AZ1560" s="35" t="s">
        <v>1280</v>
      </c>
      <c r="BA1560" s="35">
        <v>2475</v>
      </c>
      <c r="BB1560" s="35">
        <v>2985</v>
      </c>
      <c r="BC1560" s="35" t="s">
        <v>1274</v>
      </c>
      <c r="BD1560" s="35">
        <v>1521</v>
      </c>
      <c r="BE1560" s="35">
        <v>1616</v>
      </c>
      <c r="BF1560" s="35" t="s">
        <v>1277</v>
      </c>
      <c r="DI1560" s="35">
        <v>217</v>
      </c>
      <c r="DJ1560" s="35">
        <v>183</v>
      </c>
      <c r="DK1560" s="35" t="s">
        <v>1279</v>
      </c>
      <c r="DL1560" s="35">
        <v>134</v>
      </c>
      <c r="DM1560" s="35">
        <v>100</v>
      </c>
      <c r="DN1560" s="35" t="s">
        <v>1278</v>
      </c>
      <c r="FR1560" s="35" t="s">
        <v>1277</v>
      </c>
      <c r="FT1560" s="35">
        <v>73</v>
      </c>
    </row>
    <row r="1561" spans="1:176" s="35" customFormat="1" x14ac:dyDescent="0.25">
      <c r="A1561" s="35">
        <v>73</v>
      </c>
      <c r="B1561" s="35" t="s">
        <v>1265</v>
      </c>
      <c r="C1561" s="35" t="s">
        <v>1266</v>
      </c>
      <c r="D1561" s="35">
        <v>2003</v>
      </c>
      <c r="E1561" s="35">
        <v>1993</v>
      </c>
      <c r="F1561" s="35" t="s">
        <v>1267</v>
      </c>
      <c r="G1561" s="35" t="s">
        <v>1295</v>
      </c>
      <c r="H1561" s="35">
        <v>50.29</v>
      </c>
      <c r="I1561" s="35">
        <v>-107.8</v>
      </c>
      <c r="J1561" s="35">
        <v>757</v>
      </c>
      <c r="P1561" s="54">
        <v>6</v>
      </c>
      <c r="Q1561" s="54" t="s">
        <v>1264</v>
      </c>
      <c r="R1561" s="54" t="s">
        <v>1272</v>
      </c>
      <c r="S1561" s="54" t="s">
        <v>1575</v>
      </c>
      <c r="T1561" s="54" t="s">
        <v>1565</v>
      </c>
      <c r="U1561" s="54" t="s">
        <v>1593</v>
      </c>
      <c r="V1561" s="54" t="s">
        <v>1914</v>
      </c>
      <c r="W1561" s="35">
        <v>1.4880000000000002</v>
      </c>
      <c r="Z1561" s="35" t="s">
        <v>167</v>
      </c>
      <c r="AD1561" s="35" t="s">
        <v>1519</v>
      </c>
      <c r="AE1561" s="35" t="s">
        <v>666</v>
      </c>
      <c r="AF1561" s="152" t="s">
        <v>666</v>
      </c>
      <c r="AG1561" s="35" t="s">
        <v>1716</v>
      </c>
      <c r="AH1561" s="154" t="s">
        <v>144</v>
      </c>
      <c r="AI1561" s="35" t="s">
        <v>1256</v>
      </c>
      <c r="AJ1561" s="35" t="s">
        <v>1256</v>
      </c>
      <c r="AK1561" s="35" t="s">
        <v>212</v>
      </c>
      <c r="AO1561" s="35" t="s">
        <v>1270</v>
      </c>
      <c r="AP1561" s="35" t="s">
        <v>1271</v>
      </c>
      <c r="AQ1561" s="35" t="s">
        <v>587</v>
      </c>
      <c r="AR1561" s="35" t="s">
        <v>1269</v>
      </c>
      <c r="AS1561" s="35">
        <v>3</v>
      </c>
      <c r="AT1561" s="35">
        <v>3</v>
      </c>
      <c r="AU1561" s="35" t="s">
        <v>169</v>
      </c>
      <c r="AZ1561" s="35" t="s">
        <v>1280</v>
      </c>
      <c r="BA1561" s="35">
        <v>3183</v>
      </c>
      <c r="BB1561" s="35">
        <v>3049</v>
      </c>
      <c r="BC1561" s="35" t="s">
        <v>1274</v>
      </c>
      <c r="BD1561" s="35">
        <v>2232</v>
      </c>
      <c r="BE1561" s="35">
        <v>2030</v>
      </c>
      <c r="BF1561" s="35" t="s">
        <v>1277</v>
      </c>
      <c r="DI1561" s="35">
        <v>214</v>
      </c>
      <c r="DJ1561" s="35">
        <v>221</v>
      </c>
      <c r="DK1561" s="35" t="s">
        <v>1279</v>
      </c>
      <c r="DL1561" s="35">
        <v>131</v>
      </c>
      <c r="DM1561" s="35">
        <v>138</v>
      </c>
      <c r="DN1561" s="35" t="s">
        <v>1278</v>
      </c>
      <c r="FR1561" s="35" t="s">
        <v>1277</v>
      </c>
      <c r="FT1561" s="35">
        <v>73</v>
      </c>
    </row>
    <row r="1562" spans="1:176" s="35" customFormat="1" x14ac:dyDescent="0.25">
      <c r="A1562" s="35">
        <v>73</v>
      </c>
      <c r="B1562" s="35" t="s">
        <v>1265</v>
      </c>
      <c r="C1562" s="35" t="s">
        <v>1266</v>
      </c>
      <c r="D1562" s="35">
        <v>2003</v>
      </c>
      <c r="E1562" s="35">
        <v>1994</v>
      </c>
      <c r="F1562" s="35" t="s">
        <v>1267</v>
      </c>
      <c r="G1562" s="35" t="s">
        <v>1295</v>
      </c>
      <c r="H1562" s="35">
        <v>50.29</v>
      </c>
      <c r="I1562" s="35">
        <v>-107.8</v>
      </c>
      <c r="J1562" s="35">
        <v>757</v>
      </c>
      <c r="P1562" s="54">
        <v>7</v>
      </c>
      <c r="Q1562" s="54" t="s">
        <v>1264</v>
      </c>
      <c r="R1562" s="54" t="s">
        <v>1272</v>
      </c>
      <c r="S1562" s="54" t="s">
        <v>1575</v>
      </c>
      <c r="T1562" s="54" t="s">
        <v>1565</v>
      </c>
      <c r="U1562" s="54" t="s">
        <v>1593</v>
      </c>
      <c r="V1562" s="54" t="s">
        <v>1914</v>
      </c>
      <c r="W1562" s="35">
        <v>1.4880000000000002</v>
      </c>
      <c r="Z1562" s="35" t="s">
        <v>167</v>
      </c>
      <c r="AD1562" s="35" t="s">
        <v>1519</v>
      </c>
      <c r="AE1562" s="35" t="s">
        <v>666</v>
      </c>
      <c r="AF1562" s="152" t="s">
        <v>666</v>
      </c>
      <c r="AG1562" s="35" t="s">
        <v>1716</v>
      </c>
      <c r="AH1562" s="154" t="s">
        <v>144</v>
      </c>
      <c r="AI1562" s="35" t="s">
        <v>1256</v>
      </c>
      <c r="AJ1562" s="35" t="s">
        <v>1256</v>
      </c>
      <c r="AK1562" s="35" t="s">
        <v>212</v>
      </c>
      <c r="AO1562" s="35" t="s">
        <v>1270</v>
      </c>
      <c r="AP1562" s="35" t="s">
        <v>1271</v>
      </c>
      <c r="AQ1562" s="35" t="s">
        <v>587</v>
      </c>
      <c r="AR1562" s="35" t="s">
        <v>1269</v>
      </c>
      <c r="AS1562" s="35">
        <v>3</v>
      </c>
      <c r="AT1562" s="35">
        <v>3</v>
      </c>
      <c r="AU1562" s="35" t="s">
        <v>169</v>
      </c>
      <c r="AZ1562" s="35" t="s">
        <v>1280</v>
      </c>
      <c r="BA1562" s="35">
        <v>2961</v>
      </c>
      <c r="BB1562" s="35">
        <v>4238</v>
      </c>
      <c r="BC1562" s="35" t="s">
        <v>1274</v>
      </c>
      <c r="BD1562" s="35">
        <v>1546</v>
      </c>
      <c r="BE1562" s="35">
        <v>2112</v>
      </c>
      <c r="BF1562" s="35" t="s">
        <v>1277</v>
      </c>
      <c r="DI1562" s="35">
        <v>293</v>
      </c>
      <c r="DJ1562" s="35">
        <v>282</v>
      </c>
      <c r="DK1562" s="35" t="s">
        <v>1279</v>
      </c>
      <c r="DL1562" s="35">
        <v>210</v>
      </c>
      <c r="DM1562" s="35">
        <v>199</v>
      </c>
      <c r="DN1562" s="35" t="s">
        <v>1278</v>
      </c>
      <c r="FR1562" s="35" t="s">
        <v>1277</v>
      </c>
      <c r="FT1562" s="35">
        <v>73</v>
      </c>
    </row>
    <row r="1563" spans="1:176" s="35" customFormat="1" x14ac:dyDescent="0.25">
      <c r="A1563" s="35">
        <v>73</v>
      </c>
      <c r="B1563" s="35" t="s">
        <v>1265</v>
      </c>
      <c r="C1563" s="35" t="s">
        <v>1266</v>
      </c>
      <c r="D1563" s="35">
        <v>2003</v>
      </c>
      <c r="E1563" s="35">
        <v>1995</v>
      </c>
      <c r="F1563" s="35" t="s">
        <v>1267</v>
      </c>
      <c r="G1563" s="35" t="s">
        <v>1295</v>
      </c>
      <c r="H1563" s="35">
        <v>50.29</v>
      </c>
      <c r="I1563" s="35">
        <v>-107.8</v>
      </c>
      <c r="J1563" s="35">
        <v>757</v>
      </c>
      <c r="P1563" s="54">
        <v>8</v>
      </c>
      <c r="Q1563" s="54" t="s">
        <v>1264</v>
      </c>
      <c r="R1563" s="54" t="s">
        <v>1272</v>
      </c>
      <c r="S1563" s="54" t="s">
        <v>1575</v>
      </c>
      <c r="T1563" s="54" t="s">
        <v>1565</v>
      </c>
      <c r="U1563" s="54" t="s">
        <v>1593</v>
      </c>
      <c r="V1563" s="54" t="s">
        <v>1914</v>
      </c>
      <c r="W1563" s="35">
        <v>1.4880000000000002</v>
      </c>
      <c r="Z1563" s="35" t="s">
        <v>167</v>
      </c>
      <c r="AD1563" s="35" t="s">
        <v>1519</v>
      </c>
      <c r="AE1563" s="35" t="s">
        <v>666</v>
      </c>
      <c r="AF1563" s="152" t="s">
        <v>666</v>
      </c>
      <c r="AG1563" s="35" t="s">
        <v>1716</v>
      </c>
      <c r="AH1563" s="154" t="s">
        <v>144</v>
      </c>
      <c r="AI1563" s="35" t="s">
        <v>1256</v>
      </c>
      <c r="AJ1563" s="35" t="s">
        <v>1256</v>
      </c>
      <c r="AK1563" s="35" t="s">
        <v>212</v>
      </c>
      <c r="AO1563" s="35" t="s">
        <v>1270</v>
      </c>
      <c r="AP1563" s="35" t="s">
        <v>1271</v>
      </c>
      <c r="AQ1563" s="35" t="s">
        <v>587</v>
      </c>
      <c r="AR1563" s="35" t="s">
        <v>1269</v>
      </c>
      <c r="AS1563" s="35">
        <v>3</v>
      </c>
      <c r="AT1563" s="35">
        <v>3</v>
      </c>
      <c r="AU1563" s="35" t="s">
        <v>169</v>
      </c>
      <c r="AZ1563" s="35" t="s">
        <v>1280</v>
      </c>
      <c r="BA1563" s="35">
        <v>4791</v>
      </c>
      <c r="BB1563" s="35">
        <v>4694</v>
      </c>
      <c r="BC1563" s="35" t="s">
        <v>1274</v>
      </c>
      <c r="BD1563" s="35">
        <v>2703</v>
      </c>
      <c r="BE1563" s="35">
        <v>2673</v>
      </c>
      <c r="BF1563" s="35" t="s">
        <v>1277</v>
      </c>
      <c r="DI1563" s="35">
        <v>256</v>
      </c>
      <c r="DJ1563" s="35">
        <v>282</v>
      </c>
      <c r="DK1563" s="35" t="s">
        <v>1279</v>
      </c>
      <c r="DL1563" s="35">
        <v>173</v>
      </c>
      <c r="DM1563" s="35">
        <v>199</v>
      </c>
      <c r="DN1563" s="35" t="s">
        <v>1278</v>
      </c>
      <c r="FR1563" s="35" t="s">
        <v>1277</v>
      </c>
      <c r="FT1563" s="35">
        <v>73</v>
      </c>
    </row>
    <row r="1564" spans="1:176" s="35" customFormat="1" x14ac:dyDescent="0.25">
      <c r="A1564" s="35">
        <v>73</v>
      </c>
      <c r="B1564" s="35" t="s">
        <v>1265</v>
      </c>
      <c r="C1564" s="35" t="s">
        <v>1266</v>
      </c>
      <c r="D1564" s="35">
        <v>2003</v>
      </c>
      <c r="E1564" s="35">
        <v>1996</v>
      </c>
      <c r="F1564" s="35" t="s">
        <v>1267</v>
      </c>
      <c r="G1564" s="35" t="s">
        <v>1295</v>
      </c>
      <c r="H1564" s="35">
        <v>50.29</v>
      </c>
      <c r="I1564" s="35">
        <v>-107.8</v>
      </c>
      <c r="J1564" s="35">
        <v>757</v>
      </c>
      <c r="P1564" s="54">
        <v>9</v>
      </c>
      <c r="Q1564" s="54" t="s">
        <v>1264</v>
      </c>
      <c r="R1564" s="54" t="s">
        <v>1272</v>
      </c>
      <c r="S1564" s="54" t="s">
        <v>1575</v>
      </c>
      <c r="T1564" s="54" t="s">
        <v>1565</v>
      </c>
      <c r="U1564" s="54" t="s">
        <v>1593</v>
      </c>
      <c r="V1564" s="54" t="s">
        <v>1914</v>
      </c>
      <c r="W1564" s="35">
        <v>1.4880000000000002</v>
      </c>
      <c r="Z1564" s="35" t="s">
        <v>167</v>
      </c>
      <c r="AD1564" s="35" t="s">
        <v>1519</v>
      </c>
      <c r="AE1564" s="35" t="s">
        <v>666</v>
      </c>
      <c r="AF1564" s="152" t="s">
        <v>666</v>
      </c>
      <c r="AG1564" s="35" t="s">
        <v>1716</v>
      </c>
      <c r="AH1564" s="154" t="s">
        <v>144</v>
      </c>
      <c r="AI1564" s="35" t="s">
        <v>1256</v>
      </c>
      <c r="AJ1564" s="35" t="s">
        <v>1256</v>
      </c>
      <c r="AK1564" s="35" t="s">
        <v>212</v>
      </c>
      <c r="AO1564" s="35" t="s">
        <v>1270</v>
      </c>
      <c r="AP1564" s="35" t="s">
        <v>1271</v>
      </c>
      <c r="AQ1564" s="35" t="s">
        <v>587</v>
      </c>
      <c r="AR1564" s="35" t="s">
        <v>1269</v>
      </c>
      <c r="AS1564" s="35">
        <v>3</v>
      </c>
      <c r="AT1564" s="35">
        <v>3</v>
      </c>
      <c r="AU1564" s="35" t="s">
        <v>169</v>
      </c>
      <c r="AZ1564" s="35" t="s">
        <v>1280</v>
      </c>
      <c r="BA1564" s="35">
        <v>4196</v>
      </c>
      <c r="BB1564" s="35">
        <v>4044</v>
      </c>
      <c r="BC1564" s="35" t="s">
        <v>1274</v>
      </c>
      <c r="BD1564" s="35">
        <v>2566</v>
      </c>
      <c r="BE1564" s="35">
        <v>2488</v>
      </c>
      <c r="BF1564" s="35" t="s">
        <v>1277</v>
      </c>
      <c r="DI1564" s="35">
        <v>279</v>
      </c>
      <c r="DJ1564" s="35">
        <v>282</v>
      </c>
      <c r="DK1564" s="35" t="s">
        <v>1279</v>
      </c>
      <c r="DL1564" s="35">
        <v>196</v>
      </c>
      <c r="DM1564" s="35">
        <v>199</v>
      </c>
      <c r="DN1564" s="35" t="s">
        <v>1278</v>
      </c>
      <c r="FR1564" s="35" t="s">
        <v>1277</v>
      </c>
      <c r="FT1564" s="35">
        <v>73</v>
      </c>
    </row>
    <row r="1565" spans="1:176" s="35" customFormat="1" x14ac:dyDescent="0.25">
      <c r="A1565" s="35">
        <v>73</v>
      </c>
      <c r="B1565" s="35" t="s">
        <v>1265</v>
      </c>
      <c r="C1565" s="35" t="s">
        <v>1266</v>
      </c>
      <c r="D1565" s="35">
        <v>2003</v>
      </c>
      <c r="E1565" s="35">
        <v>1997</v>
      </c>
      <c r="F1565" s="35" t="s">
        <v>1267</v>
      </c>
      <c r="G1565" s="35" t="s">
        <v>1295</v>
      </c>
      <c r="H1565" s="35">
        <v>50.29</v>
      </c>
      <c r="I1565" s="35">
        <v>-107.8</v>
      </c>
      <c r="J1565" s="35">
        <v>757</v>
      </c>
      <c r="P1565" s="54">
        <v>10</v>
      </c>
      <c r="Q1565" s="54" t="s">
        <v>1264</v>
      </c>
      <c r="R1565" s="54" t="s">
        <v>1272</v>
      </c>
      <c r="S1565" s="54" t="s">
        <v>1575</v>
      </c>
      <c r="T1565" s="54" t="s">
        <v>1565</v>
      </c>
      <c r="U1565" s="54" t="s">
        <v>1593</v>
      </c>
      <c r="V1565" s="54" t="s">
        <v>1914</v>
      </c>
      <c r="W1565" s="35">
        <v>1.4880000000000002</v>
      </c>
      <c r="Z1565" s="35" t="s">
        <v>167</v>
      </c>
      <c r="AD1565" s="35" t="s">
        <v>1519</v>
      </c>
      <c r="AE1565" s="35" t="s">
        <v>666</v>
      </c>
      <c r="AF1565" s="152" t="s">
        <v>666</v>
      </c>
      <c r="AG1565" s="35" t="s">
        <v>1716</v>
      </c>
      <c r="AH1565" s="154" t="s">
        <v>144</v>
      </c>
      <c r="AI1565" s="35" t="s">
        <v>1256</v>
      </c>
      <c r="AJ1565" s="35" t="s">
        <v>1256</v>
      </c>
      <c r="AK1565" s="35" t="s">
        <v>212</v>
      </c>
      <c r="AO1565" s="35" t="s">
        <v>1270</v>
      </c>
      <c r="AP1565" s="35" t="s">
        <v>1271</v>
      </c>
      <c r="AQ1565" s="35" t="s">
        <v>587</v>
      </c>
      <c r="AR1565" s="35" t="s">
        <v>1269</v>
      </c>
      <c r="AS1565" s="35">
        <v>3</v>
      </c>
      <c r="AT1565" s="35">
        <v>3</v>
      </c>
      <c r="AU1565" s="35" t="s">
        <v>169</v>
      </c>
      <c r="AZ1565" s="35" t="s">
        <v>1280</v>
      </c>
      <c r="BA1565" s="35">
        <v>3869</v>
      </c>
      <c r="BB1565" s="35">
        <v>4507</v>
      </c>
      <c r="BC1565" s="35" t="s">
        <v>1274</v>
      </c>
      <c r="BD1565" s="35">
        <v>2647</v>
      </c>
      <c r="BE1565" s="35">
        <v>3075</v>
      </c>
      <c r="BF1565" s="35" t="s">
        <v>1277</v>
      </c>
      <c r="DI1565" s="35">
        <v>285</v>
      </c>
      <c r="DJ1565" s="35">
        <v>288</v>
      </c>
      <c r="DK1565" s="35" t="s">
        <v>1279</v>
      </c>
      <c r="DL1565" s="35">
        <v>202</v>
      </c>
      <c r="DM1565" s="35">
        <v>205</v>
      </c>
      <c r="DN1565" s="35" t="s">
        <v>1278</v>
      </c>
      <c r="FR1565" s="35" t="s">
        <v>1277</v>
      </c>
      <c r="FT1565" s="35">
        <v>73</v>
      </c>
    </row>
    <row r="1566" spans="1:176" s="35" customFormat="1" x14ac:dyDescent="0.25">
      <c r="A1566" s="35">
        <v>73</v>
      </c>
      <c r="B1566" s="35" t="s">
        <v>1265</v>
      </c>
      <c r="C1566" s="35" t="s">
        <v>1266</v>
      </c>
      <c r="D1566" s="35">
        <v>2003</v>
      </c>
      <c r="E1566" s="35">
        <v>1998</v>
      </c>
      <c r="F1566" s="35" t="s">
        <v>1267</v>
      </c>
      <c r="G1566" s="35" t="s">
        <v>1295</v>
      </c>
      <c r="H1566" s="35">
        <v>50.29</v>
      </c>
      <c r="I1566" s="35">
        <v>-107.8</v>
      </c>
      <c r="J1566" s="35">
        <v>757</v>
      </c>
      <c r="P1566" s="54">
        <v>11</v>
      </c>
      <c r="Q1566" s="54" t="s">
        <v>1264</v>
      </c>
      <c r="R1566" s="54" t="s">
        <v>1272</v>
      </c>
      <c r="S1566" s="54" t="s">
        <v>1575</v>
      </c>
      <c r="T1566" s="54" t="s">
        <v>1565</v>
      </c>
      <c r="U1566" s="54" t="s">
        <v>1593</v>
      </c>
      <c r="V1566" s="54" t="s">
        <v>1914</v>
      </c>
      <c r="W1566" s="35">
        <v>1.4880000000000002</v>
      </c>
      <c r="Z1566" s="35" t="s">
        <v>167</v>
      </c>
      <c r="AD1566" s="35" t="s">
        <v>1519</v>
      </c>
      <c r="AE1566" s="35" t="s">
        <v>666</v>
      </c>
      <c r="AF1566" s="152" t="s">
        <v>666</v>
      </c>
      <c r="AG1566" s="35" t="s">
        <v>1716</v>
      </c>
      <c r="AH1566" s="154" t="s">
        <v>144</v>
      </c>
      <c r="AI1566" s="35" t="s">
        <v>1256</v>
      </c>
      <c r="AJ1566" s="35" t="s">
        <v>1256</v>
      </c>
      <c r="AK1566" s="35" t="s">
        <v>212</v>
      </c>
      <c r="AO1566" s="35" t="s">
        <v>1270</v>
      </c>
      <c r="AP1566" s="35" t="s">
        <v>1271</v>
      </c>
      <c r="AQ1566" s="35" t="s">
        <v>587</v>
      </c>
      <c r="AR1566" s="35" t="s">
        <v>1269</v>
      </c>
      <c r="AS1566" s="35">
        <v>3</v>
      </c>
      <c r="AT1566" s="35">
        <v>3</v>
      </c>
      <c r="AU1566" s="35" t="s">
        <v>169</v>
      </c>
      <c r="AZ1566" s="35" t="s">
        <v>1280</v>
      </c>
      <c r="BA1566" s="35">
        <v>2248</v>
      </c>
      <c r="BB1566" s="35">
        <v>2210</v>
      </c>
      <c r="BC1566" s="35" t="s">
        <v>1274</v>
      </c>
      <c r="BD1566" s="35">
        <v>870</v>
      </c>
      <c r="BE1566" s="35">
        <v>657</v>
      </c>
      <c r="BF1566" s="35" t="s">
        <v>1277</v>
      </c>
      <c r="DI1566" s="35">
        <v>196</v>
      </c>
      <c r="DJ1566" s="35">
        <v>182</v>
      </c>
      <c r="DK1566" s="35" t="s">
        <v>1279</v>
      </c>
      <c r="DL1566" s="35">
        <v>113</v>
      </c>
      <c r="DM1566" s="35">
        <v>99</v>
      </c>
      <c r="DN1566" s="35" t="s">
        <v>1278</v>
      </c>
      <c r="FR1566" s="35" t="s">
        <v>1277</v>
      </c>
      <c r="FT1566" s="35">
        <v>73</v>
      </c>
    </row>
    <row r="1567" spans="1:176" s="35" customFormat="1" x14ac:dyDescent="0.25">
      <c r="A1567" s="35">
        <v>73</v>
      </c>
      <c r="B1567" s="35" t="s">
        <v>1265</v>
      </c>
      <c r="C1567" s="35" t="s">
        <v>1266</v>
      </c>
      <c r="D1567" s="35">
        <v>2003</v>
      </c>
      <c r="E1567" s="35">
        <v>1999</v>
      </c>
      <c r="F1567" s="35" t="s">
        <v>1267</v>
      </c>
      <c r="G1567" s="35" t="s">
        <v>1295</v>
      </c>
      <c r="H1567" s="35">
        <v>50.29</v>
      </c>
      <c r="I1567" s="35">
        <v>-107.8</v>
      </c>
      <c r="J1567" s="35">
        <v>757</v>
      </c>
      <c r="P1567" s="54">
        <v>12</v>
      </c>
      <c r="Q1567" s="54" t="s">
        <v>1264</v>
      </c>
      <c r="R1567" s="54" t="s">
        <v>1272</v>
      </c>
      <c r="S1567" s="54" t="s">
        <v>1575</v>
      </c>
      <c r="T1567" s="54" t="s">
        <v>1565</v>
      </c>
      <c r="U1567" s="54" t="s">
        <v>1593</v>
      </c>
      <c r="V1567" s="54" t="s">
        <v>1914</v>
      </c>
      <c r="W1567" s="35">
        <v>1.4880000000000002</v>
      </c>
      <c r="Z1567" s="35" t="s">
        <v>167</v>
      </c>
      <c r="AD1567" s="35" t="s">
        <v>1519</v>
      </c>
      <c r="AE1567" s="35" t="s">
        <v>666</v>
      </c>
      <c r="AF1567" s="152" t="s">
        <v>666</v>
      </c>
      <c r="AG1567" s="35" t="s">
        <v>1716</v>
      </c>
      <c r="AH1567" s="154" t="s">
        <v>144</v>
      </c>
      <c r="AI1567" s="35" t="s">
        <v>1256</v>
      </c>
      <c r="AJ1567" s="35" t="s">
        <v>1256</v>
      </c>
      <c r="AK1567" s="35" t="s">
        <v>212</v>
      </c>
      <c r="AO1567" s="35" t="s">
        <v>1270</v>
      </c>
      <c r="AP1567" s="35" t="s">
        <v>1271</v>
      </c>
      <c r="AQ1567" s="35" t="s">
        <v>587</v>
      </c>
      <c r="AR1567" s="35" t="s">
        <v>1269</v>
      </c>
      <c r="AS1567" s="35">
        <v>3</v>
      </c>
      <c r="AT1567" s="35">
        <v>3</v>
      </c>
      <c r="AU1567" s="35" t="s">
        <v>169</v>
      </c>
      <c r="AZ1567" s="35" t="s">
        <v>1280</v>
      </c>
      <c r="BA1567" s="35">
        <v>5009</v>
      </c>
      <c r="BB1567" s="35">
        <v>5363</v>
      </c>
      <c r="BC1567" s="35" t="s">
        <v>1274</v>
      </c>
      <c r="BD1567" s="35">
        <v>3014</v>
      </c>
      <c r="BE1567" s="35">
        <v>2961</v>
      </c>
      <c r="BF1567" s="35" t="s">
        <v>1277</v>
      </c>
      <c r="DI1567" s="35">
        <v>207</v>
      </c>
      <c r="DJ1567" s="35">
        <v>234</v>
      </c>
      <c r="DK1567" s="35" t="s">
        <v>1279</v>
      </c>
      <c r="DL1567" s="35">
        <v>124</v>
      </c>
      <c r="DM1567" s="35">
        <v>151</v>
      </c>
      <c r="DN1567" s="35" t="s">
        <v>1278</v>
      </c>
      <c r="FR1567" s="35" t="s">
        <v>1277</v>
      </c>
      <c r="FT1567" s="35">
        <v>73</v>
      </c>
    </row>
    <row r="1568" spans="1:176" s="113" customFormat="1" x14ac:dyDescent="0.25">
      <c r="A1568" s="113">
        <v>73</v>
      </c>
      <c r="B1568" s="113" t="s">
        <v>1265</v>
      </c>
      <c r="C1568" s="113" t="s">
        <v>1266</v>
      </c>
      <c r="D1568" s="113">
        <v>2003</v>
      </c>
      <c r="E1568" s="113">
        <v>1988</v>
      </c>
      <c r="F1568" s="113" t="s">
        <v>1267</v>
      </c>
      <c r="G1568" s="113" t="s">
        <v>1295</v>
      </c>
      <c r="H1568" s="113">
        <v>50.29</v>
      </c>
      <c r="I1568" s="113">
        <v>-107.8</v>
      </c>
      <c r="J1568" s="113">
        <v>757</v>
      </c>
      <c r="P1568" s="114">
        <v>1</v>
      </c>
      <c r="Q1568" s="114" t="s">
        <v>1264</v>
      </c>
      <c r="R1568" s="114" t="s">
        <v>1272</v>
      </c>
      <c r="S1568" s="114" t="s">
        <v>1565</v>
      </c>
      <c r="T1568" s="114" t="s">
        <v>1565</v>
      </c>
      <c r="U1568" s="114" t="s">
        <v>1593</v>
      </c>
      <c r="V1568" s="114" t="s">
        <v>1908</v>
      </c>
      <c r="W1568" s="113">
        <v>1.365</v>
      </c>
      <c r="Z1568" s="113" t="s">
        <v>167</v>
      </c>
      <c r="AD1568" s="113" t="s">
        <v>1519</v>
      </c>
      <c r="AE1568" s="113" t="s">
        <v>666</v>
      </c>
      <c r="AF1568" s="152" t="s">
        <v>666</v>
      </c>
      <c r="AG1568" s="113" t="s">
        <v>1716</v>
      </c>
      <c r="AH1568" s="159" t="s">
        <v>144</v>
      </c>
      <c r="AI1568" s="113" t="s">
        <v>1256</v>
      </c>
      <c r="AJ1568" s="113" t="s">
        <v>1256</v>
      </c>
      <c r="AK1568" s="113" t="s">
        <v>212</v>
      </c>
      <c r="AO1568" s="113" t="s">
        <v>1270</v>
      </c>
      <c r="AP1568" s="113" t="s">
        <v>1271</v>
      </c>
      <c r="AQ1568" s="113" t="s">
        <v>587</v>
      </c>
      <c r="AR1568" s="113" t="s">
        <v>1269</v>
      </c>
      <c r="AS1568" s="113">
        <v>3</v>
      </c>
      <c r="AT1568" s="113">
        <v>3</v>
      </c>
      <c r="AU1568" s="113" t="s">
        <v>169</v>
      </c>
      <c r="AZ1568" s="113" t="s">
        <v>1273</v>
      </c>
      <c r="BM1568" s="113">
        <f>73*(1000000/(100*100*0.3*1.365*1000))</f>
        <v>17.826617826617827</v>
      </c>
      <c r="BN1568" s="113">
        <f>33.5*(1000000/(100*100*0.3*1.365*1000))</f>
        <v>8.1807081807081801</v>
      </c>
      <c r="BO1568" s="113" t="s">
        <v>1859</v>
      </c>
      <c r="FR1568" s="113" t="s">
        <v>1277</v>
      </c>
      <c r="FT1568" s="113">
        <v>73</v>
      </c>
    </row>
    <row r="1569" spans="1:176" s="113" customFormat="1" x14ac:dyDescent="0.25">
      <c r="A1569" s="113">
        <v>73</v>
      </c>
      <c r="B1569" s="113" t="s">
        <v>1265</v>
      </c>
      <c r="C1569" s="113" t="s">
        <v>1266</v>
      </c>
      <c r="D1569" s="113">
        <v>2003</v>
      </c>
      <c r="E1569" s="113">
        <v>1989</v>
      </c>
      <c r="F1569" s="113" t="s">
        <v>1267</v>
      </c>
      <c r="G1569" s="113" t="s">
        <v>1295</v>
      </c>
      <c r="H1569" s="113">
        <v>50.29</v>
      </c>
      <c r="I1569" s="113">
        <v>-107.8</v>
      </c>
      <c r="J1569" s="113">
        <v>757</v>
      </c>
      <c r="P1569" s="114">
        <v>2</v>
      </c>
      <c r="Q1569" s="114" t="s">
        <v>1264</v>
      </c>
      <c r="R1569" s="114" t="s">
        <v>1272</v>
      </c>
      <c r="S1569" s="114" t="s">
        <v>1565</v>
      </c>
      <c r="T1569" s="114" t="s">
        <v>1565</v>
      </c>
      <c r="U1569" s="114" t="s">
        <v>1593</v>
      </c>
      <c r="V1569" s="114" t="s">
        <v>1908</v>
      </c>
      <c r="W1569" s="113">
        <v>1.365</v>
      </c>
      <c r="Z1569" s="113" t="s">
        <v>167</v>
      </c>
      <c r="AD1569" s="113" t="s">
        <v>1519</v>
      </c>
      <c r="AE1569" s="113" t="s">
        <v>666</v>
      </c>
      <c r="AF1569" s="152" t="s">
        <v>666</v>
      </c>
      <c r="AG1569" s="113" t="s">
        <v>1716</v>
      </c>
      <c r="AH1569" s="159" t="s">
        <v>144</v>
      </c>
      <c r="AI1569" s="113" t="s">
        <v>1256</v>
      </c>
      <c r="AJ1569" s="113" t="s">
        <v>1256</v>
      </c>
      <c r="AK1569" s="113" t="s">
        <v>212</v>
      </c>
      <c r="AO1569" s="113" t="s">
        <v>1270</v>
      </c>
      <c r="AP1569" s="113" t="s">
        <v>1271</v>
      </c>
      <c r="AQ1569" s="113" t="s">
        <v>587</v>
      </c>
      <c r="AR1569" s="113" t="s">
        <v>1269</v>
      </c>
      <c r="AS1569" s="113">
        <v>3</v>
      </c>
      <c r="AT1569" s="113">
        <v>3</v>
      </c>
      <c r="AU1569" s="113" t="s">
        <v>169</v>
      </c>
      <c r="AZ1569" s="113" t="s">
        <v>1273</v>
      </c>
      <c r="BM1569" s="113">
        <f>52.2*(1000000/(100*100*0.3*1.365*1000))</f>
        <v>12.747252747252748</v>
      </c>
      <c r="BN1569" s="113">
        <f>29.1*(1000000/(100*100*0.3*1.365*1000))</f>
        <v>7.1062271062271067</v>
      </c>
      <c r="BO1569" s="113" t="s">
        <v>1859</v>
      </c>
      <c r="FR1569" s="113" t="s">
        <v>1277</v>
      </c>
      <c r="FT1569" s="113">
        <v>73</v>
      </c>
    </row>
    <row r="1570" spans="1:176" s="113" customFormat="1" x14ac:dyDescent="0.25">
      <c r="A1570" s="113">
        <v>73</v>
      </c>
      <c r="B1570" s="113" t="s">
        <v>1265</v>
      </c>
      <c r="C1570" s="113" t="s">
        <v>1266</v>
      </c>
      <c r="D1570" s="113">
        <v>2003</v>
      </c>
      <c r="E1570" s="113">
        <v>1990</v>
      </c>
      <c r="F1570" s="113" t="s">
        <v>1267</v>
      </c>
      <c r="G1570" s="113" t="s">
        <v>1295</v>
      </c>
      <c r="H1570" s="113">
        <v>50.29</v>
      </c>
      <c r="I1570" s="113">
        <v>-107.8</v>
      </c>
      <c r="J1570" s="113">
        <v>757</v>
      </c>
      <c r="P1570" s="114">
        <v>3</v>
      </c>
      <c r="Q1570" s="114" t="s">
        <v>1264</v>
      </c>
      <c r="R1570" s="114" t="s">
        <v>1272</v>
      </c>
      <c r="S1570" s="114" t="s">
        <v>1565</v>
      </c>
      <c r="T1570" s="114" t="s">
        <v>1565</v>
      </c>
      <c r="U1570" s="114" t="s">
        <v>1593</v>
      </c>
      <c r="V1570" s="114" t="s">
        <v>1908</v>
      </c>
      <c r="W1570" s="113">
        <v>1.365</v>
      </c>
      <c r="Z1570" s="113" t="s">
        <v>167</v>
      </c>
      <c r="AD1570" s="113" t="s">
        <v>1519</v>
      </c>
      <c r="AE1570" s="113" t="s">
        <v>666</v>
      </c>
      <c r="AF1570" s="152" t="s">
        <v>666</v>
      </c>
      <c r="AG1570" s="113" t="s">
        <v>1716</v>
      </c>
      <c r="AH1570" s="159" t="s">
        <v>144</v>
      </c>
      <c r="AI1570" s="113" t="s">
        <v>1256</v>
      </c>
      <c r="AJ1570" s="113" t="s">
        <v>1256</v>
      </c>
      <c r="AK1570" s="113" t="s">
        <v>212</v>
      </c>
      <c r="AO1570" s="113" t="s">
        <v>1270</v>
      </c>
      <c r="AP1570" s="113" t="s">
        <v>1271</v>
      </c>
      <c r="AQ1570" s="113" t="s">
        <v>587</v>
      </c>
      <c r="AR1570" s="113" t="s">
        <v>1269</v>
      </c>
      <c r="AS1570" s="113">
        <v>3</v>
      </c>
      <c r="AT1570" s="113">
        <v>3</v>
      </c>
      <c r="AU1570" s="113" t="s">
        <v>169</v>
      </c>
      <c r="AZ1570" s="113" t="s">
        <v>1273</v>
      </c>
      <c r="BM1570" s="113">
        <f>66.6*(1000000/(100*100*0.3*1.365*1000))</f>
        <v>16.263736263736263</v>
      </c>
      <c r="BN1570" s="113">
        <f>53.2*(1000000/(100*100*0.3*1.365*1000))</f>
        <v>12.991452991452991</v>
      </c>
      <c r="BO1570" s="113" t="s">
        <v>1859</v>
      </c>
      <c r="FR1570" s="113" t="s">
        <v>1277</v>
      </c>
      <c r="FT1570" s="113">
        <v>73</v>
      </c>
    </row>
    <row r="1571" spans="1:176" s="113" customFormat="1" x14ac:dyDescent="0.25">
      <c r="A1571" s="113">
        <v>73</v>
      </c>
      <c r="B1571" s="113" t="s">
        <v>1265</v>
      </c>
      <c r="C1571" s="113" t="s">
        <v>1266</v>
      </c>
      <c r="D1571" s="113">
        <v>2003</v>
      </c>
      <c r="E1571" s="113">
        <v>1991</v>
      </c>
      <c r="F1571" s="113" t="s">
        <v>1267</v>
      </c>
      <c r="G1571" s="113" t="s">
        <v>1295</v>
      </c>
      <c r="H1571" s="113">
        <v>50.29</v>
      </c>
      <c r="I1571" s="113">
        <v>-107.8</v>
      </c>
      <c r="J1571" s="113">
        <v>757</v>
      </c>
      <c r="P1571" s="114">
        <v>4</v>
      </c>
      <c r="Q1571" s="114" t="s">
        <v>1264</v>
      </c>
      <c r="R1571" s="114" t="s">
        <v>1272</v>
      </c>
      <c r="S1571" s="114" t="s">
        <v>1565</v>
      </c>
      <c r="T1571" s="114" t="s">
        <v>1565</v>
      </c>
      <c r="U1571" s="114" t="s">
        <v>1593</v>
      </c>
      <c r="V1571" s="114" t="s">
        <v>1908</v>
      </c>
      <c r="W1571" s="113">
        <v>1.365</v>
      </c>
      <c r="Z1571" s="113" t="s">
        <v>167</v>
      </c>
      <c r="AD1571" s="113" t="s">
        <v>1519</v>
      </c>
      <c r="AE1571" s="113" t="s">
        <v>666</v>
      </c>
      <c r="AF1571" s="152" t="s">
        <v>666</v>
      </c>
      <c r="AG1571" s="113" t="s">
        <v>1716</v>
      </c>
      <c r="AH1571" s="159" t="s">
        <v>144</v>
      </c>
      <c r="AI1571" s="113" t="s">
        <v>1256</v>
      </c>
      <c r="AJ1571" s="113" t="s">
        <v>1256</v>
      </c>
      <c r="AK1571" s="113" t="s">
        <v>212</v>
      </c>
      <c r="AO1571" s="113" t="s">
        <v>1270</v>
      </c>
      <c r="AP1571" s="113" t="s">
        <v>1271</v>
      </c>
      <c r="AQ1571" s="113" t="s">
        <v>587</v>
      </c>
      <c r="AR1571" s="113" t="s">
        <v>1269</v>
      </c>
      <c r="AS1571" s="113">
        <v>3</v>
      </c>
      <c r="AT1571" s="113">
        <v>3</v>
      </c>
      <c r="AU1571" s="113" t="s">
        <v>169</v>
      </c>
      <c r="AZ1571" s="113" t="s">
        <v>1273</v>
      </c>
      <c r="BM1571" s="113">
        <f>44.7*(1000000/(100*100*0.3*1.365*1000))</f>
        <v>10.915750915750916</v>
      </c>
      <c r="BN1571" s="113">
        <f>56.3*(1000000/(100*100*0.3*1.365*1000))</f>
        <v>13.748473748473748</v>
      </c>
      <c r="BO1571" s="113" t="s">
        <v>1859</v>
      </c>
      <c r="FR1571" s="113" t="s">
        <v>1277</v>
      </c>
      <c r="FT1571" s="113">
        <v>73</v>
      </c>
    </row>
    <row r="1572" spans="1:176" s="113" customFormat="1" x14ac:dyDescent="0.25">
      <c r="A1572" s="113">
        <v>73</v>
      </c>
      <c r="B1572" s="113" t="s">
        <v>1265</v>
      </c>
      <c r="C1572" s="113" t="s">
        <v>1266</v>
      </c>
      <c r="D1572" s="113">
        <v>2003</v>
      </c>
      <c r="E1572" s="113">
        <v>1992</v>
      </c>
      <c r="F1572" s="113" t="s">
        <v>1267</v>
      </c>
      <c r="G1572" s="113" t="s">
        <v>1295</v>
      </c>
      <c r="H1572" s="113">
        <v>50.29</v>
      </c>
      <c r="I1572" s="113">
        <v>-107.8</v>
      </c>
      <c r="J1572" s="113">
        <v>757</v>
      </c>
      <c r="P1572" s="114">
        <v>5</v>
      </c>
      <c r="Q1572" s="114" t="s">
        <v>1264</v>
      </c>
      <c r="R1572" s="114" t="s">
        <v>1272</v>
      </c>
      <c r="S1572" s="114" t="s">
        <v>1565</v>
      </c>
      <c r="T1572" s="114" t="s">
        <v>1565</v>
      </c>
      <c r="U1572" s="114" t="s">
        <v>1593</v>
      </c>
      <c r="V1572" s="114" t="s">
        <v>1908</v>
      </c>
      <c r="W1572" s="113">
        <v>1.365</v>
      </c>
      <c r="Z1572" s="113" t="s">
        <v>167</v>
      </c>
      <c r="AD1572" s="113" t="s">
        <v>1519</v>
      </c>
      <c r="AE1572" s="113" t="s">
        <v>666</v>
      </c>
      <c r="AF1572" s="152" t="s">
        <v>666</v>
      </c>
      <c r="AG1572" s="113" t="s">
        <v>1716</v>
      </c>
      <c r="AH1572" s="159" t="s">
        <v>144</v>
      </c>
      <c r="AI1572" s="113" t="s">
        <v>1256</v>
      </c>
      <c r="AJ1572" s="113" t="s">
        <v>1256</v>
      </c>
      <c r="AK1572" s="113" t="s">
        <v>212</v>
      </c>
      <c r="AO1572" s="113" t="s">
        <v>1270</v>
      </c>
      <c r="AP1572" s="113" t="s">
        <v>1271</v>
      </c>
      <c r="AQ1572" s="113" t="s">
        <v>587</v>
      </c>
      <c r="AR1572" s="113" t="s">
        <v>1269</v>
      </c>
      <c r="AS1572" s="113">
        <v>3</v>
      </c>
      <c r="AT1572" s="113">
        <v>3</v>
      </c>
      <c r="AU1572" s="113" t="s">
        <v>169</v>
      </c>
      <c r="AZ1572" s="113" t="s">
        <v>1273</v>
      </c>
      <c r="BM1572" s="113">
        <f>33.4*(1000000/(100*100*0.3*1.365*1000))</f>
        <v>8.1562881562881557</v>
      </c>
      <c r="BN1572" s="113">
        <f>19.7*(1000000/(100*100*0.3*1.365*1000))</f>
        <v>4.8107448107448105</v>
      </c>
      <c r="BO1572" s="113" t="s">
        <v>1859</v>
      </c>
      <c r="FR1572" s="113" t="s">
        <v>1277</v>
      </c>
      <c r="FT1572" s="113">
        <v>73</v>
      </c>
    </row>
    <row r="1573" spans="1:176" s="113" customFormat="1" x14ac:dyDescent="0.25">
      <c r="A1573" s="113">
        <v>73</v>
      </c>
      <c r="B1573" s="113" t="s">
        <v>1265</v>
      </c>
      <c r="C1573" s="113" t="s">
        <v>1266</v>
      </c>
      <c r="D1573" s="113">
        <v>2003</v>
      </c>
      <c r="E1573" s="113">
        <v>1993</v>
      </c>
      <c r="F1573" s="113" t="s">
        <v>1267</v>
      </c>
      <c r="G1573" s="113" t="s">
        <v>1295</v>
      </c>
      <c r="H1573" s="113">
        <v>50.29</v>
      </c>
      <c r="I1573" s="113">
        <v>-107.8</v>
      </c>
      <c r="J1573" s="113">
        <v>757</v>
      </c>
      <c r="P1573" s="114">
        <v>6</v>
      </c>
      <c r="Q1573" s="114" t="s">
        <v>1264</v>
      </c>
      <c r="R1573" s="114" t="s">
        <v>1272</v>
      </c>
      <c r="S1573" s="114" t="s">
        <v>1565</v>
      </c>
      <c r="T1573" s="114" t="s">
        <v>1565</v>
      </c>
      <c r="U1573" s="114" t="s">
        <v>1593</v>
      </c>
      <c r="V1573" s="114" t="s">
        <v>1908</v>
      </c>
      <c r="W1573" s="113">
        <v>1.365</v>
      </c>
      <c r="Z1573" s="113" t="s">
        <v>167</v>
      </c>
      <c r="AD1573" s="113" t="s">
        <v>1519</v>
      </c>
      <c r="AE1573" s="113" t="s">
        <v>666</v>
      </c>
      <c r="AF1573" s="152" t="s">
        <v>666</v>
      </c>
      <c r="AG1573" s="113" t="s">
        <v>1716</v>
      </c>
      <c r="AH1573" s="159" t="s">
        <v>144</v>
      </c>
      <c r="AI1573" s="113" t="s">
        <v>1256</v>
      </c>
      <c r="AJ1573" s="113" t="s">
        <v>1256</v>
      </c>
      <c r="AK1573" s="113" t="s">
        <v>212</v>
      </c>
      <c r="AO1573" s="113" t="s">
        <v>1270</v>
      </c>
      <c r="AP1573" s="113" t="s">
        <v>1271</v>
      </c>
      <c r="AQ1573" s="113" t="s">
        <v>587</v>
      </c>
      <c r="AR1573" s="113" t="s">
        <v>1269</v>
      </c>
      <c r="AS1573" s="113">
        <v>3</v>
      </c>
      <c r="AT1573" s="113">
        <v>3</v>
      </c>
      <c r="AU1573" s="113" t="s">
        <v>169</v>
      </c>
      <c r="AZ1573" s="113" t="s">
        <v>1273</v>
      </c>
      <c r="BM1573" s="113">
        <f>23*(1000000/(100*100*0.3*1.365*1000))</f>
        <v>5.6166056166056162</v>
      </c>
      <c r="BN1573" s="113">
        <f>44.7*(1000000/(100*100*0.3*1.365*1000))</f>
        <v>10.915750915750916</v>
      </c>
      <c r="BO1573" s="113" t="s">
        <v>1859</v>
      </c>
      <c r="FR1573" s="113" t="s">
        <v>1277</v>
      </c>
      <c r="FT1573" s="113">
        <v>73</v>
      </c>
    </row>
    <row r="1574" spans="1:176" s="113" customFormat="1" x14ac:dyDescent="0.25">
      <c r="A1574" s="113">
        <v>73</v>
      </c>
      <c r="B1574" s="113" t="s">
        <v>1265</v>
      </c>
      <c r="C1574" s="113" t="s">
        <v>1266</v>
      </c>
      <c r="D1574" s="113">
        <v>2003</v>
      </c>
      <c r="E1574" s="113">
        <v>1994</v>
      </c>
      <c r="F1574" s="113" t="s">
        <v>1267</v>
      </c>
      <c r="G1574" s="113" t="s">
        <v>1295</v>
      </c>
      <c r="H1574" s="113">
        <v>50.29</v>
      </c>
      <c r="I1574" s="113">
        <v>-107.8</v>
      </c>
      <c r="J1574" s="113">
        <v>757</v>
      </c>
      <c r="P1574" s="114">
        <v>7</v>
      </c>
      <c r="Q1574" s="114" t="s">
        <v>1264</v>
      </c>
      <c r="R1574" s="114" t="s">
        <v>1272</v>
      </c>
      <c r="S1574" s="114" t="s">
        <v>1565</v>
      </c>
      <c r="T1574" s="114" t="s">
        <v>1565</v>
      </c>
      <c r="U1574" s="114" t="s">
        <v>1593</v>
      </c>
      <c r="V1574" s="114" t="s">
        <v>1908</v>
      </c>
      <c r="W1574" s="113">
        <v>1.365</v>
      </c>
      <c r="Z1574" s="113" t="s">
        <v>167</v>
      </c>
      <c r="AD1574" s="113" t="s">
        <v>1519</v>
      </c>
      <c r="AE1574" s="113" t="s">
        <v>666</v>
      </c>
      <c r="AF1574" s="152" t="s">
        <v>666</v>
      </c>
      <c r="AG1574" s="113" t="s">
        <v>1716</v>
      </c>
      <c r="AH1574" s="159" t="s">
        <v>144</v>
      </c>
      <c r="AI1574" s="113" t="s">
        <v>1256</v>
      </c>
      <c r="AJ1574" s="113" t="s">
        <v>1256</v>
      </c>
      <c r="AK1574" s="113" t="s">
        <v>212</v>
      </c>
      <c r="AO1574" s="113" t="s">
        <v>1270</v>
      </c>
      <c r="AP1574" s="113" t="s">
        <v>1271</v>
      </c>
      <c r="AQ1574" s="113" t="s">
        <v>587</v>
      </c>
      <c r="AR1574" s="113" t="s">
        <v>1269</v>
      </c>
      <c r="AS1574" s="113">
        <v>3</v>
      </c>
      <c r="AT1574" s="113">
        <v>3</v>
      </c>
      <c r="AU1574" s="113" t="s">
        <v>169</v>
      </c>
      <c r="AZ1574" s="113" t="s">
        <v>1273</v>
      </c>
      <c r="BM1574" s="113">
        <f>15.1*(1000000/(100*100*0.3*1.365*1000))</f>
        <v>3.6874236874236872</v>
      </c>
      <c r="BN1574" s="113">
        <f>27.9*(1000000/(100*100*0.3*1.365*1000))</f>
        <v>6.813186813186813</v>
      </c>
      <c r="BO1574" s="113" t="s">
        <v>1859</v>
      </c>
      <c r="FR1574" s="113" t="s">
        <v>1277</v>
      </c>
      <c r="FT1574" s="113">
        <v>73</v>
      </c>
    </row>
    <row r="1575" spans="1:176" s="113" customFormat="1" x14ac:dyDescent="0.25">
      <c r="A1575" s="113">
        <v>73</v>
      </c>
      <c r="B1575" s="113" t="s">
        <v>1265</v>
      </c>
      <c r="C1575" s="113" t="s">
        <v>1266</v>
      </c>
      <c r="D1575" s="113">
        <v>2003</v>
      </c>
      <c r="E1575" s="113">
        <v>1995</v>
      </c>
      <c r="F1575" s="113" t="s">
        <v>1267</v>
      </c>
      <c r="G1575" s="113" t="s">
        <v>1295</v>
      </c>
      <c r="H1575" s="113">
        <v>50.29</v>
      </c>
      <c r="I1575" s="113">
        <v>-107.8</v>
      </c>
      <c r="J1575" s="113">
        <v>757</v>
      </c>
      <c r="P1575" s="114">
        <v>8</v>
      </c>
      <c r="Q1575" s="114" t="s">
        <v>1264</v>
      </c>
      <c r="R1575" s="114" t="s">
        <v>1272</v>
      </c>
      <c r="S1575" s="114" t="s">
        <v>1565</v>
      </c>
      <c r="T1575" s="114" t="s">
        <v>1565</v>
      </c>
      <c r="U1575" s="114" t="s">
        <v>1593</v>
      </c>
      <c r="V1575" s="114" t="s">
        <v>1908</v>
      </c>
      <c r="W1575" s="113">
        <v>1.365</v>
      </c>
      <c r="Z1575" s="113" t="s">
        <v>167</v>
      </c>
      <c r="AD1575" s="113" t="s">
        <v>1519</v>
      </c>
      <c r="AE1575" s="113" t="s">
        <v>666</v>
      </c>
      <c r="AF1575" s="152" t="s">
        <v>666</v>
      </c>
      <c r="AG1575" s="113" t="s">
        <v>1716</v>
      </c>
      <c r="AH1575" s="159" t="s">
        <v>144</v>
      </c>
      <c r="AI1575" s="113" t="s">
        <v>1256</v>
      </c>
      <c r="AJ1575" s="113" t="s">
        <v>1256</v>
      </c>
      <c r="AK1575" s="113" t="s">
        <v>212</v>
      </c>
      <c r="AO1575" s="113" t="s">
        <v>1270</v>
      </c>
      <c r="AP1575" s="113" t="s">
        <v>1271</v>
      </c>
      <c r="AQ1575" s="113" t="s">
        <v>587</v>
      </c>
      <c r="AR1575" s="113" t="s">
        <v>1269</v>
      </c>
      <c r="AS1575" s="113">
        <v>3</v>
      </c>
      <c r="AT1575" s="113">
        <v>3</v>
      </c>
      <c r="AU1575" s="113" t="s">
        <v>169</v>
      </c>
      <c r="AZ1575" s="113" t="s">
        <v>1273</v>
      </c>
      <c r="BM1575" s="113">
        <f>39.9*(1000000/(100*100*0.3*1.365*1000))</f>
        <v>9.7435897435897427</v>
      </c>
      <c r="BN1575" s="113">
        <f>54.1*(1000000/(100*100*0.3*1.365*1000))</f>
        <v>13.21123321123321</v>
      </c>
      <c r="BO1575" s="113" t="s">
        <v>1859</v>
      </c>
      <c r="FR1575" s="113" t="s">
        <v>1277</v>
      </c>
      <c r="FT1575" s="113">
        <v>73</v>
      </c>
    </row>
    <row r="1576" spans="1:176" s="113" customFormat="1" x14ac:dyDescent="0.25">
      <c r="A1576" s="113">
        <v>73</v>
      </c>
      <c r="B1576" s="113" t="s">
        <v>1265</v>
      </c>
      <c r="C1576" s="113" t="s">
        <v>1266</v>
      </c>
      <c r="D1576" s="113">
        <v>2003</v>
      </c>
      <c r="E1576" s="113">
        <v>1996</v>
      </c>
      <c r="F1576" s="113" t="s">
        <v>1267</v>
      </c>
      <c r="G1576" s="113" t="s">
        <v>1295</v>
      </c>
      <c r="H1576" s="113">
        <v>50.29</v>
      </c>
      <c r="I1576" s="113">
        <v>-107.8</v>
      </c>
      <c r="J1576" s="113">
        <v>757</v>
      </c>
      <c r="P1576" s="114">
        <v>9</v>
      </c>
      <c r="Q1576" s="114" t="s">
        <v>1264</v>
      </c>
      <c r="R1576" s="114" t="s">
        <v>1272</v>
      </c>
      <c r="S1576" s="114" t="s">
        <v>1565</v>
      </c>
      <c r="T1576" s="114" t="s">
        <v>1565</v>
      </c>
      <c r="U1576" s="114" t="s">
        <v>1593</v>
      </c>
      <c r="V1576" s="114" t="s">
        <v>1908</v>
      </c>
      <c r="W1576" s="113">
        <v>1.365</v>
      </c>
      <c r="Z1576" s="113" t="s">
        <v>167</v>
      </c>
      <c r="AD1576" s="113" t="s">
        <v>1519</v>
      </c>
      <c r="AE1576" s="113" t="s">
        <v>666</v>
      </c>
      <c r="AF1576" s="152" t="s">
        <v>666</v>
      </c>
      <c r="AG1576" s="113" t="s">
        <v>1716</v>
      </c>
      <c r="AH1576" s="159" t="s">
        <v>144</v>
      </c>
      <c r="AI1576" s="113" t="s">
        <v>1256</v>
      </c>
      <c r="AJ1576" s="113" t="s">
        <v>1256</v>
      </c>
      <c r="AK1576" s="113" t="s">
        <v>212</v>
      </c>
      <c r="AO1576" s="113" t="s">
        <v>1270</v>
      </c>
      <c r="AP1576" s="113" t="s">
        <v>1271</v>
      </c>
      <c r="AQ1576" s="113" t="s">
        <v>587</v>
      </c>
      <c r="AR1576" s="113" t="s">
        <v>1269</v>
      </c>
      <c r="AS1576" s="113">
        <v>3</v>
      </c>
      <c r="AT1576" s="113">
        <v>3</v>
      </c>
      <c r="AU1576" s="113" t="s">
        <v>169</v>
      </c>
      <c r="AZ1576" s="113" t="s">
        <v>1273</v>
      </c>
      <c r="BM1576" s="113">
        <f>29.2*(1000000/(100*100*0.3*1.365*1000))</f>
        <v>7.1306471306471302</v>
      </c>
      <c r="BN1576" s="113">
        <f>54.6*(1000000/(100*100*0.3*1.365*1000))</f>
        <v>13.333333333333334</v>
      </c>
      <c r="BO1576" s="113" t="s">
        <v>1859</v>
      </c>
      <c r="FR1576" s="113" t="s">
        <v>1277</v>
      </c>
      <c r="FT1576" s="113">
        <v>73</v>
      </c>
    </row>
    <row r="1577" spans="1:176" s="113" customFormat="1" x14ac:dyDescent="0.25">
      <c r="A1577" s="113">
        <v>73</v>
      </c>
      <c r="B1577" s="113" t="s">
        <v>1265</v>
      </c>
      <c r="C1577" s="113" t="s">
        <v>1266</v>
      </c>
      <c r="D1577" s="113">
        <v>2003</v>
      </c>
      <c r="E1577" s="113">
        <v>1997</v>
      </c>
      <c r="F1577" s="113" t="s">
        <v>1267</v>
      </c>
      <c r="G1577" s="113" t="s">
        <v>1295</v>
      </c>
      <c r="H1577" s="113">
        <v>50.29</v>
      </c>
      <c r="I1577" s="113">
        <v>-107.8</v>
      </c>
      <c r="J1577" s="113">
        <v>757</v>
      </c>
      <c r="P1577" s="114">
        <v>10</v>
      </c>
      <c r="Q1577" s="114" t="s">
        <v>1264</v>
      </c>
      <c r="R1577" s="114" t="s">
        <v>1272</v>
      </c>
      <c r="S1577" s="114" t="s">
        <v>1565</v>
      </c>
      <c r="T1577" s="114" t="s">
        <v>1565</v>
      </c>
      <c r="U1577" s="114" t="s">
        <v>1593</v>
      </c>
      <c r="V1577" s="114" t="s">
        <v>1908</v>
      </c>
      <c r="W1577" s="113">
        <v>1.365</v>
      </c>
      <c r="Z1577" s="113" t="s">
        <v>167</v>
      </c>
      <c r="AD1577" s="113" t="s">
        <v>1519</v>
      </c>
      <c r="AE1577" s="113" t="s">
        <v>666</v>
      </c>
      <c r="AF1577" s="152" t="s">
        <v>666</v>
      </c>
      <c r="AG1577" s="113" t="s">
        <v>1716</v>
      </c>
      <c r="AH1577" s="159" t="s">
        <v>144</v>
      </c>
      <c r="AI1577" s="113" t="s">
        <v>1256</v>
      </c>
      <c r="AJ1577" s="113" t="s">
        <v>1256</v>
      </c>
      <c r="AK1577" s="113" t="s">
        <v>212</v>
      </c>
      <c r="AO1577" s="113" t="s">
        <v>1270</v>
      </c>
      <c r="AP1577" s="113" t="s">
        <v>1271</v>
      </c>
      <c r="AQ1577" s="113" t="s">
        <v>587</v>
      </c>
      <c r="AR1577" s="113" t="s">
        <v>1269</v>
      </c>
      <c r="AS1577" s="113">
        <v>3</v>
      </c>
      <c r="AT1577" s="113">
        <v>3</v>
      </c>
      <c r="AU1577" s="113" t="s">
        <v>169</v>
      </c>
      <c r="AZ1577" s="113" t="s">
        <v>1273</v>
      </c>
      <c r="BM1577" s="113">
        <f>18.4*(1000000/(100*100*0.3*1.365*1000))</f>
        <v>4.4932844932844924</v>
      </c>
      <c r="BN1577" s="113">
        <f>24.9*(1000000/(100*100*0.3*1.365*1000))</f>
        <v>6.0805860805860803</v>
      </c>
      <c r="BO1577" s="113" t="s">
        <v>1859</v>
      </c>
      <c r="FR1577" s="113" t="s">
        <v>1277</v>
      </c>
      <c r="FT1577" s="113">
        <v>73</v>
      </c>
    </row>
    <row r="1578" spans="1:176" s="113" customFormat="1" x14ac:dyDescent="0.25">
      <c r="A1578" s="113">
        <v>73</v>
      </c>
      <c r="B1578" s="113" t="s">
        <v>1265</v>
      </c>
      <c r="C1578" s="113" t="s">
        <v>1266</v>
      </c>
      <c r="D1578" s="113">
        <v>2003</v>
      </c>
      <c r="E1578" s="113">
        <v>1998</v>
      </c>
      <c r="F1578" s="113" t="s">
        <v>1267</v>
      </c>
      <c r="G1578" s="113" t="s">
        <v>1295</v>
      </c>
      <c r="H1578" s="113">
        <v>50.29</v>
      </c>
      <c r="I1578" s="113">
        <v>-107.8</v>
      </c>
      <c r="J1578" s="113">
        <v>757</v>
      </c>
      <c r="P1578" s="114">
        <v>11</v>
      </c>
      <c r="Q1578" s="114" t="s">
        <v>1264</v>
      </c>
      <c r="R1578" s="114" t="s">
        <v>1272</v>
      </c>
      <c r="S1578" s="114" t="s">
        <v>1565</v>
      </c>
      <c r="T1578" s="114" t="s">
        <v>1565</v>
      </c>
      <c r="U1578" s="114" t="s">
        <v>1593</v>
      </c>
      <c r="V1578" s="114" t="s">
        <v>1908</v>
      </c>
      <c r="W1578" s="113">
        <v>1.365</v>
      </c>
      <c r="Z1578" s="113" t="s">
        <v>167</v>
      </c>
      <c r="AD1578" s="113" t="s">
        <v>1519</v>
      </c>
      <c r="AE1578" s="113" t="s">
        <v>666</v>
      </c>
      <c r="AF1578" s="152" t="s">
        <v>666</v>
      </c>
      <c r="AG1578" s="113" t="s">
        <v>1716</v>
      </c>
      <c r="AH1578" s="159" t="s">
        <v>144</v>
      </c>
      <c r="AI1578" s="113" t="s">
        <v>1256</v>
      </c>
      <c r="AJ1578" s="113" t="s">
        <v>1256</v>
      </c>
      <c r="AK1578" s="113" t="s">
        <v>212</v>
      </c>
      <c r="AO1578" s="113" t="s">
        <v>1270</v>
      </c>
      <c r="AP1578" s="113" t="s">
        <v>1271</v>
      </c>
      <c r="AQ1578" s="113" t="s">
        <v>587</v>
      </c>
      <c r="AR1578" s="113" t="s">
        <v>1269</v>
      </c>
      <c r="AS1578" s="113">
        <v>3</v>
      </c>
      <c r="AT1578" s="113">
        <v>3</v>
      </c>
      <c r="AU1578" s="113" t="s">
        <v>169</v>
      </c>
      <c r="AZ1578" s="113" t="s">
        <v>1273</v>
      </c>
      <c r="BM1578" s="113">
        <f>55*(1000000/(100*100*0.3*1.365*1000))</f>
        <v>13.431013431013431</v>
      </c>
      <c r="BN1578" s="113">
        <f>65.7*(1000000/(100*100*0.3*1.365*1000))</f>
        <v>16.043956043956044</v>
      </c>
      <c r="BO1578" s="113" t="s">
        <v>1859</v>
      </c>
      <c r="FR1578" s="113" t="s">
        <v>1277</v>
      </c>
      <c r="FT1578" s="113">
        <v>73</v>
      </c>
    </row>
    <row r="1579" spans="1:176" s="113" customFormat="1" x14ac:dyDescent="0.25">
      <c r="A1579" s="113">
        <v>73</v>
      </c>
      <c r="B1579" s="113" t="s">
        <v>1265</v>
      </c>
      <c r="C1579" s="113" t="s">
        <v>1266</v>
      </c>
      <c r="D1579" s="113">
        <v>2003</v>
      </c>
      <c r="E1579" s="113">
        <v>1999</v>
      </c>
      <c r="F1579" s="113" t="s">
        <v>1267</v>
      </c>
      <c r="G1579" s="113" t="s">
        <v>1295</v>
      </c>
      <c r="H1579" s="113">
        <v>50.29</v>
      </c>
      <c r="I1579" s="113">
        <v>-107.8</v>
      </c>
      <c r="J1579" s="113">
        <v>757</v>
      </c>
      <c r="P1579" s="114">
        <v>12</v>
      </c>
      <c r="Q1579" s="114" t="s">
        <v>1264</v>
      </c>
      <c r="R1579" s="114" t="s">
        <v>1272</v>
      </c>
      <c r="S1579" s="114" t="s">
        <v>1565</v>
      </c>
      <c r="T1579" s="114" t="s">
        <v>1565</v>
      </c>
      <c r="U1579" s="114" t="s">
        <v>1593</v>
      </c>
      <c r="V1579" s="114" t="s">
        <v>1908</v>
      </c>
      <c r="W1579" s="113">
        <v>1.365</v>
      </c>
      <c r="Z1579" s="113" t="s">
        <v>167</v>
      </c>
      <c r="AD1579" s="113" t="s">
        <v>1519</v>
      </c>
      <c r="AE1579" s="113" t="s">
        <v>666</v>
      </c>
      <c r="AF1579" s="152" t="s">
        <v>666</v>
      </c>
      <c r="AG1579" s="113" t="s">
        <v>1716</v>
      </c>
      <c r="AH1579" s="159" t="s">
        <v>144</v>
      </c>
      <c r="AI1579" s="113" t="s">
        <v>1256</v>
      </c>
      <c r="AJ1579" s="113" t="s">
        <v>1256</v>
      </c>
      <c r="AK1579" s="113" t="s">
        <v>212</v>
      </c>
      <c r="AO1579" s="113" t="s">
        <v>1270</v>
      </c>
      <c r="AP1579" s="113" t="s">
        <v>1271</v>
      </c>
      <c r="AQ1579" s="113" t="s">
        <v>587</v>
      </c>
      <c r="AR1579" s="113" t="s">
        <v>1269</v>
      </c>
      <c r="AS1579" s="113">
        <v>3</v>
      </c>
      <c r="AT1579" s="113">
        <v>3</v>
      </c>
      <c r="AU1579" s="113" t="s">
        <v>169</v>
      </c>
      <c r="AZ1579" s="113" t="s">
        <v>1273</v>
      </c>
      <c r="BM1579" s="113">
        <f>42.9*(1000000/(100*100*0.3*1.365*1000))</f>
        <v>10.476190476190476</v>
      </c>
      <c r="BN1579" s="113">
        <f>54*(1000000/(100*100*0.3*1.365*1000))</f>
        <v>13.186813186813186</v>
      </c>
      <c r="BO1579" s="113" t="s">
        <v>1859</v>
      </c>
      <c r="FR1579" s="113" t="s">
        <v>1277</v>
      </c>
      <c r="FT1579" s="113">
        <v>73</v>
      </c>
    </row>
    <row r="1580" spans="1:176" s="115" customFormat="1" x14ac:dyDescent="0.25">
      <c r="A1580" s="115">
        <v>73</v>
      </c>
      <c r="B1580" s="115" t="s">
        <v>1265</v>
      </c>
      <c r="C1580" s="115" t="s">
        <v>1266</v>
      </c>
      <c r="D1580" s="115">
        <v>2003</v>
      </c>
      <c r="E1580" s="115">
        <v>1988</v>
      </c>
      <c r="F1580" s="115" t="s">
        <v>1267</v>
      </c>
      <c r="G1580" s="115" t="s">
        <v>1295</v>
      </c>
      <c r="H1580" s="115">
        <v>50.29</v>
      </c>
      <c r="I1580" s="115">
        <v>-107.8</v>
      </c>
      <c r="J1580" s="115">
        <v>757</v>
      </c>
      <c r="P1580" s="116">
        <v>1</v>
      </c>
      <c r="Q1580" s="116" t="s">
        <v>1264</v>
      </c>
      <c r="R1580" s="116" t="s">
        <v>1272</v>
      </c>
      <c r="S1580" s="116" t="s">
        <v>1578</v>
      </c>
      <c r="T1580" s="116" t="s">
        <v>1565</v>
      </c>
      <c r="U1580" s="116" t="s">
        <v>1593</v>
      </c>
      <c r="V1580" s="116" t="s">
        <v>1908</v>
      </c>
      <c r="W1580" s="115">
        <v>1.41</v>
      </c>
      <c r="Z1580" s="115" t="s">
        <v>167</v>
      </c>
      <c r="AD1580" s="115" t="s">
        <v>1519</v>
      </c>
      <c r="AE1580" s="115" t="s">
        <v>666</v>
      </c>
      <c r="AF1580" s="152" t="s">
        <v>666</v>
      </c>
      <c r="AG1580" s="115" t="s">
        <v>1716</v>
      </c>
      <c r="AH1580" s="159" t="s">
        <v>144</v>
      </c>
      <c r="AI1580" s="115" t="s">
        <v>1256</v>
      </c>
      <c r="AJ1580" s="115" t="s">
        <v>1256</v>
      </c>
      <c r="AK1580" s="115" t="s">
        <v>212</v>
      </c>
      <c r="AO1580" s="115" t="s">
        <v>1270</v>
      </c>
      <c r="AP1580" s="115" t="s">
        <v>1271</v>
      </c>
      <c r="AQ1580" s="115" t="s">
        <v>587</v>
      </c>
      <c r="AR1580" s="115" t="s">
        <v>1269</v>
      </c>
      <c r="AS1580" s="115">
        <v>3</v>
      </c>
      <c r="AT1580" s="115">
        <v>3</v>
      </c>
      <c r="AU1580" s="115" t="s">
        <v>169</v>
      </c>
      <c r="AZ1580" s="115" t="s">
        <v>1273</v>
      </c>
      <c r="BM1580" s="115">
        <f>26.9*(1000000/(100*100*0.3*1.41*1000))</f>
        <v>6.3593380614657207</v>
      </c>
      <c r="BN1580" s="115">
        <f>(1000000/(100*100*0.3*1.41*1000))*15.8</f>
        <v>3.7352245862884166</v>
      </c>
      <c r="BO1580" s="115" t="s">
        <v>1859</v>
      </c>
      <c r="FR1580" s="115" t="s">
        <v>1277</v>
      </c>
      <c r="FT1580" s="115">
        <v>73</v>
      </c>
    </row>
    <row r="1581" spans="1:176" s="115" customFormat="1" x14ac:dyDescent="0.25">
      <c r="A1581" s="115">
        <v>73</v>
      </c>
      <c r="B1581" s="115" t="s">
        <v>1265</v>
      </c>
      <c r="C1581" s="115" t="s">
        <v>1266</v>
      </c>
      <c r="D1581" s="115">
        <v>2003</v>
      </c>
      <c r="E1581" s="115">
        <v>1989</v>
      </c>
      <c r="F1581" s="115" t="s">
        <v>1267</v>
      </c>
      <c r="G1581" s="115" t="s">
        <v>1295</v>
      </c>
      <c r="H1581" s="115">
        <v>50.29</v>
      </c>
      <c r="I1581" s="115">
        <v>-107.8</v>
      </c>
      <c r="J1581" s="115">
        <v>757</v>
      </c>
      <c r="P1581" s="116">
        <v>2</v>
      </c>
      <c r="Q1581" s="116" t="s">
        <v>1264</v>
      </c>
      <c r="R1581" s="116" t="s">
        <v>1272</v>
      </c>
      <c r="S1581" s="116" t="s">
        <v>1578</v>
      </c>
      <c r="T1581" s="116" t="s">
        <v>1565</v>
      </c>
      <c r="U1581" s="116" t="s">
        <v>1593</v>
      </c>
      <c r="V1581" s="116" t="s">
        <v>1908</v>
      </c>
      <c r="W1581" s="115">
        <v>1.41</v>
      </c>
      <c r="Z1581" s="115" t="s">
        <v>167</v>
      </c>
      <c r="AD1581" s="115" t="s">
        <v>1519</v>
      </c>
      <c r="AE1581" s="115" t="s">
        <v>666</v>
      </c>
      <c r="AF1581" s="152" t="s">
        <v>666</v>
      </c>
      <c r="AG1581" s="115" t="s">
        <v>1716</v>
      </c>
      <c r="AH1581" s="159" t="s">
        <v>144</v>
      </c>
      <c r="AI1581" s="115" t="s">
        <v>1256</v>
      </c>
      <c r="AJ1581" s="115" t="s">
        <v>1256</v>
      </c>
      <c r="AK1581" s="115" t="s">
        <v>212</v>
      </c>
      <c r="AO1581" s="115" t="s">
        <v>1270</v>
      </c>
      <c r="AP1581" s="115" t="s">
        <v>1271</v>
      </c>
      <c r="AQ1581" s="115" t="s">
        <v>587</v>
      </c>
      <c r="AR1581" s="115" t="s">
        <v>1269</v>
      </c>
      <c r="AS1581" s="115">
        <v>3</v>
      </c>
      <c r="AT1581" s="115">
        <v>3</v>
      </c>
      <c r="AU1581" s="115" t="s">
        <v>169</v>
      </c>
      <c r="AZ1581" s="115" t="s">
        <v>1273</v>
      </c>
      <c r="BM1581" s="115">
        <f>65.2*(1000000/(100*100*0.3*1.41*1000))</f>
        <v>15.413711583924352</v>
      </c>
      <c r="BN1581" s="115">
        <f>(1000000/(100*100*0.3*1.41*1000))*19.1</f>
        <v>4.5153664302600474</v>
      </c>
      <c r="BO1581" s="115" t="s">
        <v>1859</v>
      </c>
      <c r="FR1581" s="115" t="s">
        <v>1277</v>
      </c>
      <c r="FT1581" s="115">
        <v>73</v>
      </c>
    </row>
    <row r="1582" spans="1:176" s="115" customFormat="1" x14ac:dyDescent="0.25">
      <c r="A1582" s="115">
        <v>73</v>
      </c>
      <c r="B1582" s="115" t="s">
        <v>1265</v>
      </c>
      <c r="C1582" s="115" t="s">
        <v>1266</v>
      </c>
      <c r="D1582" s="115">
        <v>2003</v>
      </c>
      <c r="E1582" s="115">
        <v>1990</v>
      </c>
      <c r="F1582" s="115" t="s">
        <v>1267</v>
      </c>
      <c r="G1582" s="115" t="s">
        <v>1295</v>
      </c>
      <c r="H1582" s="115">
        <v>50.29</v>
      </c>
      <c r="I1582" s="115">
        <v>-107.8</v>
      </c>
      <c r="J1582" s="115">
        <v>757</v>
      </c>
      <c r="P1582" s="116">
        <v>3</v>
      </c>
      <c r="Q1582" s="116" t="s">
        <v>1264</v>
      </c>
      <c r="R1582" s="116" t="s">
        <v>1272</v>
      </c>
      <c r="S1582" s="116" t="s">
        <v>1578</v>
      </c>
      <c r="T1582" s="116" t="s">
        <v>1565</v>
      </c>
      <c r="U1582" s="116" t="s">
        <v>1593</v>
      </c>
      <c r="V1582" s="116" t="s">
        <v>1908</v>
      </c>
      <c r="W1582" s="115">
        <v>1.41</v>
      </c>
      <c r="Z1582" s="115" t="s">
        <v>167</v>
      </c>
      <c r="AD1582" s="115" t="s">
        <v>1519</v>
      </c>
      <c r="AE1582" s="115" t="s">
        <v>666</v>
      </c>
      <c r="AF1582" s="152" t="s">
        <v>666</v>
      </c>
      <c r="AG1582" s="115" t="s">
        <v>1716</v>
      </c>
      <c r="AH1582" s="159" t="s">
        <v>144</v>
      </c>
      <c r="AI1582" s="115" t="s">
        <v>1256</v>
      </c>
      <c r="AJ1582" s="115" t="s">
        <v>1256</v>
      </c>
      <c r="AK1582" s="115" t="s">
        <v>212</v>
      </c>
      <c r="AO1582" s="115" t="s">
        <v>1270</v>
      </c>
      <c r="AP1582" s="115" t="s">
        <v>1271</v>
      </c>
      <c r="AQ1582" s="115" t="s">
        <v>587</v>
      </c>
      <c r="AR1582" s="115" t="s">
        <v>1269</v>
      </c>
      <c r="AS1582" s="115">
        <v>3</v>
      </c>
      <c r="AT1582" s="115">
        <v>3</v>
      </c>
      <c r="AU1582" s="115" t="s">
        <v>169</v>
      </c>
      <c r="AZ1582" s="115" t="s">
        <v>1273</v>
      </c>
      <c r="BM1582" s="115">
        <f>(1000000/(100*100*0.3*1.41*1000))*30.9</f>
        <v>7.3049645390070923</v>
      </c>
      <c r="BN1582" s="115">
        <f>(1000000/(100*100*0.3*1.41*1000))*32.1</f>
        <v>7.5886524822695041</v>
      </c>
      <c r="BO1582" s="115" t="s">
        <v>1859</v>
      </c>
      <c r="FR1582" s="115" t="s">
        <v>1277</v>
      </c>
      <c r="FT1582" s="115">
        <v>73</v>
      </c>
    </row>
    <row r="1583" spans="1:176" s="115" customFormat="1" x14ac:dyDescent="0.25">
      <c r="A1583" s="115">
        <v>73</v>
      </c>
      <c r="B1583" s="115" t="s">
        <v>1265</v>
      </c>
      <c r="C1583" s="115" t="s">
        <v>1266</v>
      </c>
      <c r="D1583" s="115">
        <v>2003</v>
      </c>
      <c r="E1583" s="115">
        <v>1991</v>
      </c>
      <c r="F1583" s="115" t="s">
        <v>1267</v>
      </c>
      <c r="G1583" s="115" t="s">
        <v>1295</v>
      </c>
      <c r="H1583" s="115">
        <v>50.29</v>
      </c>
      <c r="I1583" s="115">
        <v>-107.8</v>
      </c>
      <c r="J1583" s="115">
        <v>757</v>
      </c>
      <c r="P1583" s="116">
        <v>4</v>
      </c>
      <c r="Q1583" s="116" t="s">
        <v>1264</v>
      </c>
      <c r="R1583" s="116" t="s">
        <v>1272</v>
      </c>
      <c r="S1583" s="116" t="s">
        <v>1578</v>
      </c>
      <c r="T1583" s="116" t="s">
        <v>1565</v>
      </c>
      <c r="U1583" s="116" t="s">
        <v>1593</v>
      </c>
      <c r="V1583" s="116" t="s">
        <v>1908</v>
      </c>
      <c r="W1583" s="115">
        <v>1.41</v>
      </c>
      <c r="Z1583" s="115" t="s">
        <v>167</v>
      </c>
      <c r="AD1583" s="115" t="s">
        <v>1519</v>
      </c>
      <c r="AE1583" s="115" t="s">
        <v>666</v>
      </c>
      <c r="AF1583" s="152" t="s">
        <v>666</v>
      </c>
      <c r="AG1583" s="115" t="s">
        <v>1716</v>
      </c>
      <c r="AH1583" s="159" t="s">
        <v>144</v>
      </c>
      <c r="AI1583" s="115" t="s">
        <v>1256</v>
      </c>
      <c r="AJ1583" s="115" t="s">
        <v>1256</v>
      </c>
      <c r="AK1583" s="115" t="s">
        <v>212</v>
      </c>
      <c r="AO1583" s="115" t="s">
        <v>1270</v>
      </c>
      <c r="AP1583" s="115" t="s">
        <v>1271</v>
      </c>
      <c r="AQ1583" s="115" t="s">
        <v>587</v>
      </c>
      <c r="AR1583" s="115" t="s">
        <v>1269</v>
      </c>
      <c r="AS1583" s="115">
        <v>3</v>
      </c>
      <c r="AT1583" s="115">
        <v>3</v>
      </c>
      <c r="AU1583" s="115" t="s">
        <v>169</v>
      </c>
      <c r="AZ1583" s="115" t="s">
        <v>1273</v>
      </c>
      <c r="BM1583" s="115">
        <f>(1000000/(100*100*0.3*1.41*1000))*25.2</f>
        <v>5.957446808510638</v>
      </c>
      <c r="BN1583" s="115">
        <f>(1000000/(100*100*0.3*1.41*1000))*27.9</f>
        <v>6.5957446808510634</v>
      </c>
      <c r="BO1583" s="115" t="s">
        <v>1859</v>
      </c>
      <c r="FR1583" s="115" t="s">
        <v>1277</v>
      </c>
      <c r="FT1583" s="115">
        <v>73</v>
      </c>
    </row>
    <row r="1584" spans="1:176" s="115" customFormat="1" x14ac:dyDescent="0.25">
      <c r="A1584" s="115">
        <v>73</v>
      </c>
      <c r="B1584" s="115" t="s">
        <v>1265</v>
      </c>
      <c r="C1584" s="115" t="s">
        <v>1266</v>
      </c>
      <c r="D1584" s="115">
        <v>2003</v>
      </c>
      <c r="E1584" s="115">
        <v>1992</v>
      </c>
      <c r="F1584" s="115" t="s">
        <v>1267</v>
      </c>
      <c r="G1584" s="115" t="s">
        <v>1295</v>
      </c>
      <c r="H1584" s="115">
        <v>50.29</v>
      </c>
      <c r="I1584" s="115">
        <v>-107.8</v>
      </c>
      <c r="J1584" s="115">
        <v>757</v>
      </c>
      <c r="P1584" s="116">
        <v>5</v>
      </c>
      <c r="Q1584" s="116" t="s">
        <v>1264</v>
      </c>
      <c r="R1584" s="116" t="s">
        <v>1272</v>
      </c>
      <c r="S1584" s="116" t="s">
        <v>1578</v>
      </c>
      <c r="T1584" s="116" t="s">
        <v>1565</v>
      </c>
      <c r="U1584" s="116" t="s">
        <v>1593</v>
      </c>
      <c r="V1584" s="116" t="s">
        <v>1908</v>
      </c>
      <c r="W1584" s="115">
        <v>1.41</v>
      </c>
      <c r="Z1584" s="115" t="s">
        <v>167</v>
      </c>
      <c r="AD1584" s="115" t="s">
        <v>1519</v>
      </c>
      <c r="AE1584" s="115" t="s">
        <v>666</v>
      </c>
      <c r="AF1584" s="152" t="s">
        <v>666</v>
      </c>
      <c r="AG1584" s="115" t="s">
        <v>1716</v>
      </c>
      <c r="AH1584" s="159" t="s">
        <v>144</v>
      </c>
      <c r="AI1584" s="115" t="s">
        <v>1256</v>
      </c>
      <c r="AJ1584" s="115" t="s">
        <v>1256</v>
      </c>
      <c r="AK1584" s="115" t="s">
        <v>212</v>
      </c>
      <c r="AO1584" s="115" t="s">
        <v>1270</v>
      </c>
      <c r="AP1584" s="115" t="s">
        <v>1271</v>
      </c>
      <c r="AQ1584" s="115" t="s">
        <v>587</v>
      </c>
      <c r="AR1584" s="115" t="s">
        <v>1269</v>
      </c>
      <c r="AS1584" s="115">
        <v>3</v>
      </c>
      <c r="AT1584" s="115">
        <v>3</v>
      </c>
      <c r="AU1584" s="115" t="s">
        <v>169</v>
      </c>
      <c r="AZ1584" s="115" t="s">
        <v>1273</v>
      </c>
      <c r="BM1584" s="115">
        <f>(1000000/(100*100*0.3*1.41*1000))*17.8</f>
        <v>4.208037825059102</v>
      </c>
      <c r="BN1584" s="115">
        <f>(1000000/(100*100*0.3*1.41*1000))*11.1</f>
        <v>2.624113475177305</v>
      </c>
      <c r="BO1584" s="115" t="s">
        <v>1859</v>
      </c>
      <c r="FR1584" s="115" t="s">
        <v>1277</v>
      </c>
      <c r="FT1584" s="115">
        <v>73</v>
      </c>
    </row>
    <row r="1585" spans="1:176" s="115" customFormat="1" x14ac:dyDescent="0.25">
      <c r="A1585" s="115">
        <v>73</v>
      </c>
      <c r="B1585" s="115" t="s">
        <v>1265</v>
      </c>
      <c r="C1585" s="115" t="s">
        <v>1266</v>
      </c>
      <c r="D1585" s="115">
        <v>2003</v>
      </c>
      <c r="E1585" s="115">
        <v>1993</v>
      </c>
      <c r="F1585" s="115" t="s">
        <v>1267</v>
      </c>
      <c r="G1585" s="115" t="s">
        <v>1295</v>
      </c>
      <c r="H1585" s="115">
        <v>50.29</v>
      </c>
      <c r="I1585" s="115">
        <v>-107.8</v>
      </c>
      <c r="J1585" s="115">
        <v>757</v>
      </c>
      <c r="P1585" s="116">
        <v>6</v>
      </c>
      <c r="Q1585" s="116" t="s">
        <v>1264</v>
      </c>
      <c r="R1585" s="116" t="s">
        <v>1272</v>
      </c>
      <c r="S1585" s="116" t="s">
        <v>1578</v>
      </c>
      <c r="T1585" s="116" t="s">
        <v>1565</v>
      </c>
      <c r="U1585" s="116" t="s">
        <v>1593</v>
      </c>
      <c r="V1585" s="116" t="s">
        <v>1908</v>
      </c>
      <c r="W1585" s="115">
        <v>1.41</v>
      </c>
      <c r="Z1585" s="115" t="s">
        <v>167</v>
      </c>
      <c r="AD1585" s="115" t="s">
        <v>1519</v>
      </c>
      <c r="AE1585" s="115" t="s">
        <v>666</v>
      </c>
      <c r="AF1585" s="152" t="s">
        <v>666</v>
      </c>
      <c r="AG1585" s="115" t="s">
        <v>1716</v>
      </c>
      <c r="AH1585" s="159" t="s">
        <v>144</v>
      </c>
      <c r="AI1585" s="115" t="s">
        <v>1256</v>
      </c>
      <c r="AJ1585" s="115" t="s">
        <v>1256</v>
      </c>
      <c r="AK1585" s="115" t="s">
        <v>212</v>
      </c>
      <c r="AO1585" s="115" t="s">
        <v>1270</v>
      </c>
      <c r="AP1585" s="115" t="s">
        <v>1271</v>
      </c>
      <c r="AQ1585" s="115" t="s">
        <v>587</v>
      </c>
      <c r="AR1585" s="115" t="s">
        <v>1269</v>
      </c>
      <c r="AS1585" s="115">
        <v>3</v>
      </c>
      <c r="AT1585" s="115">
        <v>3</v>
      </c>
      <c r="AU1585" s="115" t="s">
        <v>169</v>
      </c>
      <c r="AZ1585" s="115" t="s">
        <v>1273</v>
      </c>
      <c r="BM1585" s="115">
        <f>(1000000/(100*100*0.3*1.41*1000))*22.1</f>
        <v>5.2245862884160763</v>
      </c>
      <c r="BN1585" s="115">
        <f>(1000000/(100*100*0.3*1.41*1000))*22.6</f>
        <v>5.3427895981087472</v>
      </c>
      <c r="BO1585" s="115" t="s">
        <v>1859</v>
      </c>
      <c r="FR1585" s="115" t="s">
        <v>1277</v>
      </c>
      <c r="FT1585" s="115">
        <v>73</v>
      </c>
    </row>
    <row r="1586" spans="1:176" s="115" customFormat="1" x14ac:dyDescent="0.25">
      <c r="A1586" s="115">
        <v>73</v>
      </c>
      <c r="B1586" s="115" t="s">
        <v>1265</v>
      </c>
      <c r="C1586" s="115" t="s">
        <v>1266</v>
      </c>
      <c r="D1586" s="115">
        <v>2003</v>
      </c>
      <c r="E1586" s="115">
        <v>1994</v>
      </c>
      <c r="F1586" s="115" t="s">
        <v>1267</v>
      </c>
      <c r="G1586" s="115" t="s">
        <v>1295</v>
      </c>
      <c r="H1586" s="115">
        <v>50.29</v>
      </c>
      <c r="I1586" s="115">
        <v>-107.8</v>
      </c>
      <c r="J1586" s="115">
        <v>757</v>
      </c>
      <c r="P1586" s="116">
        <v>7</v>
      </c>
      <c r="Q1586" s="116" t="s">
        <v>1264</v>
      </c>
      <c r="R1586" s="116" t="s">
        <v>1272</v>
      </c>
      <c r="S1586" s="116" t="s">
        <v>1578</v>
      </c>
      <c r="T1586" s="116" t="s">
        <v>1565</v>
      </c>
      <c r="U1586" s="116" t="s">
        <v>1593</v>
      </c>
      <c r="V1586" s="116" t="s">
        <v>1908</v>
      </c>
      <c r="W1586" s="115">
        <v>1.41</v>
      </c>
      <c r="Z1586" s="115" t="s">
        <v>167</v>
      </c>
      <c r="AD1586" s="115" t="s">
        <v>1519</v>
      </c>
      <c r="AE1586" s="115" t="s">
        <v>666</v>
      </c>
      <c r="AF1586" s="152" t="s">
        <v>666</v>
      </c>
      <c r="AG1586" s="115" t="s">
        <v>1716</v>
      </c>
      <c r="AH1586" s="159" t="s">
        <v>144</v>
      </c>
      <c r="AI1586" s="115" t="s">
        <v>1256</v>
      </c>
      <c r="AJ1586" s="115" t="s">
        <v>1256</v>
      </c>
      <c r="AK1586" s="115" t="s">
        <v>212</v>
      </c>
      <c r="AO1586" s="115" t="s">
        <v>1270</v>
      </c>
      <c r="AP1586" s="115" t="s">
        <v>1271</v>
      </c>
      <c r="AQ1586" s="115" t="s">
        <v>587</v>
      </c>
      <c r="AR1586" s="115" t="s">
        <v>1269</v>
      </c>
      <c r="AS1586" s="115">
        <v>3</v>
      </c>
      <c r="AT1586" s="115">
        <v>3</v>
      </c>
      <c r="AU1586" s="115" t="s">
        <v>169</v>
      </c>
      <c r="AZ1586" s="115" t="s">
        <v>1273</v>
      </c>
      <c r="BM1586" s="115">
        <f>(1000000/(100*100*0.3*1.41*1000))*9</f>
        <v>2.1276595744680851</v>
      </c>
      <c r="BN1586" s="115">
        <f>(1000000/(100*100*0.3*1.41*1000))*14.6</f>
        <v>3.4515366430260048</v>
      </c>
      <c r="BO1586" s="115" t="s">
        <v>1859</v>
      </c>
      <c r="FR1586" s="115" t="s">
        <v>1277</v>
      </c>
      <c r="FT1586" s="115">
        <v>73</v>
      </c>
    </row>
    <row r="1587" spans="1:176" s="115" customFormat="1" x14ac:dyDescent="0.25">
      <c r="A1587" s="115">
        <v>73</v>
      </c>
      <c r="B1587" s="115" t="s">
        <v>1265</v>
      </c>
      <c r="C1587" s="115" t="s">
        <v>1266</v>
      </c>
      <c r="D1587" s="115">
        <v>2003</v>
      </c>
      <c r="E1587" s="115">
        <v>1995</v>
      </c>
      <c r="F1587" s="115" t="s">
        <v>1267</v>
      </c>
      <c r="G1587" s="115" t="s">
        <v>1295</v>
      </c>
      <c r="H1587" s="115">
        <v>50.29</v>
      </c>
      <c r="I1587" s="115">
        <v>-107.8</v>
      </c>
      <c r="J1587" s="115">
        <v>757</v>
      </c>
      <c r="P1587" s="116">
        <v>8</v>
      </c>
      <c r="Q1587" s="116" t="s">
        <v>1264</v>
      </c>
      <c r="R1587" s="116" t="s">
        <v>1272</v>
      </c>
      <c r="S1587" s="116" t="s">
        <v>1578</v>
      </c>
      <c r="T1587" s="116" t="s">
        <v>1565</v>
      </c>
      <c r="U1587" s="116" t="s">
        <v>1593</v>
      </c>
      <c r="V1587" s="116" t="s">
        <v>1908</v>
      </c>
      <c r="W1587" s="115">
        <v>1.41</v>
      </c>
      <c r="Z1587" s="115" t="s">
        <v>167</v>
      </c>
      <c r="AD1587" s="115" t="s">
        <v>1519</v>
      </c>
      <c r="AE1587" s="115" t="s">
        <v>666</v>
      </c>
      <c r="AF1587" s="152" t="s">
        <v>666</v>
      </c>
      <c r="AG1587" s="115" t="s">
        <v>1716</v>
      </c>
      <c r="AH1587" s="159" t="s">
        <v>144</v>
      </c>
      <c r="AI1587" s="115" t="s">
        <v>1256</v>
      </c>
      <c r="AJ1587" s="115" t="s">
        <v>1256</v>
      </c>
      <c r="AK1587" s="115" t="s">
        <v>212</v>
      </c>
      <c r="AO1587" s="115" t="s">
        <v>1270</v>
      </c>
      <c r="AP1587" s="115" t="s">
        <v>1271</v>
      </c>
      <c r="AQ1587" s="115" t="s">
        <v>587</v>
      </c>
      <c r="AR1587" s="115" t="s">
        <v>1269</v>
      </c>
      <c r="AS1587" s="115">
        <v>3</v>
      </c>
      <c r="AT1587" s="115">
        <v>3</v>
      </c>
      <c r="AU1587" s="115" t="s">
        <v>169</v>
      </c>
      <c r="AZ1587" s="115" t="s">
        <v>1273</v>
      </c>
      <c r="BM1587" s="115">
        <f>(1000000/(100*100*0.3*1.41*1000))*16.9</f>
        <v>3.9952718676122929</v>
      </c>
      <c r="BN1587" s="115">
        <f>(1000000/(100*100*0.3*1.41*1000))*15.8</f>
        <v>3.7352245862884166</v>
      </c>
      <c r="BO1587" s="115" t="s">
        <v>1859</v>
      </c>
      <c r="FR1587" s="115" t="s">
        <v>1277</v>
      </c>
      <c r="FT1587" s="115">
        <v>73</v>
      </c>
    </row>
    <row r="1588" spans="1:176" s="115" customFormat="1" x14ac:dyDescent="0.25">
      <c r="A1588" s="115">
        <v>73</v>
      </c>
      <c r="B1588" s="115" t="s">
        <v>1265</v>
      </c>
      <c r="C1588" s="115" t="s">
        <v>1266</v>
      </c>
      <c r="D1588" s="115">
        <v>2003</v>
      </c>
      <c r="E1588" s="115">
        <v>1996</v>
      </c>
      <c r="F1588" s="115" t="s">
        <v>1267</v>
      </c>
      <c r="G1588" s="115" t="s">
        <v>1295</v>
      </c>
      <c r="H1588" s="115">
        <v>50.29</v>
      </c>
      <c r="I1588" s="115">
        <v>-107.8</v>
      </c>
      <c r="J1588" s="115">
        <v>757</v>
      </c>
      <c r="P1588" s="116">
        <v>9</v>
      </c>
      <c r="Q1588" s="116" t="s">
        <v>1264</v>
      </c>
      <c r="R1588" s="116" t="s">
        <v>1272</v>
      </c>
      <c r="S1588" s="116" t="s">
        <v>1578</v>
      </c>
      <c r="T1588" s="116" t="s">
        <v>1565</v>
      </c>
      <c r="U1588" s="116" t="s">
        <v>1593</v>
      </c>
      <c r="V1588" s="116" t="s">
        <v>1908</v>
      </c>
      <c r="W1588" s="115">
        <v>1.41</v>
      </c>
      <c r="Z1588" s="115" t="s">
        <v>167</v>
      </c>
      <c r="AD1588" s="115" t="s">
        <v>1519</v>
      </c>
      <c r="AE1588" s="115" t="s">
        <v>666</v>
      </c>
      <c r="AF1588" s="152" t="s">
        <v>666</v>
      </c>
      <c r="AG1588" s="115" t="s">
        <v>1716</v>
      </c>
      <c r="AH1588" s="159" t="s">
        <v>144</v>
      </c>
      <c r="AI1588" s="115" t="s">
        <v>1256</v>
      </c>
      <c r="AJ1588" s="115" t="s">
        <v>1256</v>
      </c>
      <c r="AK1588" s="115" t="s">
        <v>212</v>
      </c>
      <c r="AO1588" s="115" t="s">
        <v>1270</v>
      </c>
      <c r="AP1588" s="115" t="s">
        <v>1271</v>
      </c>
      <c r="AQ1588" s="115" t="s">
        <v>587</v>
      </c>
      <c r="AR1588" s="115" t="s">
        <v>1269</v>
      </c>
      <c r="AS1588" s="115">
        <v>3</v>
      </c>
      <c r="AT1588" s="115">
        <v>3</v>
      </c>
      <c r="AU1588" s="115" t="s">
        <v>169</v>
      </c>
      <c r="AZ1588" s="115" t="s">
        <v>1273</v>
      </c>
      <c r="BM1588" s="115">
        <f>(1000000/(100*100*0.3*1.41*1000))*16.6</f>
        <v>3.9243498817966906</v>
      </c>
      <c r="BN1588" s="115">
        <f>(1000000/(100*100*0.3*1.41*1000))*36.1</f>
        <v>8.5342789598108748</v>
      </c>
      <c r="BO1588" s="115" t="s">
        <v>1859</v>
      </c>
      <c r="FR1588" s="115" t="s">
        <v>1277</v>
      </c>
      <c r="FT1588" s="115">
        <v>73</v>
      </c>
    </row>
    <row r="1589" spans="1:176" s="115" customFormat="1" x14ac:dyDescent="0.25">
      <c r="A1589" s="115">
        <v>73</v>
      </c>
      <c r="B1589" s="115" t="s">
        <v>1265</v>
      </c>
      <c r="C1589" s="115" t="s">
        <v>1266</v>
      </c>
      <c r="D1589" s="115">
        <v>2003</v>
      </c>
      <c r="E1589" s="115">
        <v>1997</v>
      </c>
      <c r="F1589" s="115" t="s">
        <v>1267</v>
      </c>
      <c r="G1589" s="115" t="s">
        <v>1295</v>
      </c>
      <c r="H1589" s="115">
        <v>50.29</v>
      </c>
      <c r="I1589" s="115">
        <v>-107.8</v>
      </c>
      <c r="J1589" s="115">
        <v>757</v>
      </c>
      <c r="P1589" s="116">
        <v>10</v>
      </c>
      <c r="Q1589" s="116" t="s">
        <v>1264</v>
      </c>
      <c r="R1589" s="116" t="s">
        <v>1272</v>
      </c>
      <c r="S1589" s="116" t="s">
        <v>1578</v>
      </c>
      <c r="T1589" s="116" t="s">
        <v>1565</v>
      </c>
      <c r="U1589" s="116" t="s">
        <v>1593</v>
      </c>
      <c r="V1589" s="116" t="s">
        <v>1908</v>
      </c>
      <c r="W1589" s="115">
        <v>1.41</v>
      </c>
      <c r="Z1589" s="115" t="s">
        <v>167</v>
      </c>
      <c r="AD1589" s="115" t="s">
        <v>1519</v>
      </c>
      <c r="AE1589" s="115" t="s">
        <v>666</v>
      </c>
      <c r="AF1589" s="152" t="s">
        <v>666</v>
      </c>
      <c r="AG1589" s="115" t="s">
        <v>1716</v>
      </c>
      <c r="AH1589" s="159" t="s">
        <v>144</v>
      </c>
      <c r="AI1589" s="115" t="s">
        <v>1256</v>
      </c>
      <c r="AJ1589" s="115" t="s">
        <v>1256</v>
      </c>
      <c r="AK1589" s="115" t="s">
        <v>212</v>
      </c>
      <c r="AO1589" s="115" t="s">
        <v>1270</v>
      </c>
      <c r="AP1589" s="115" t="s">
        <v>1271</v>
      </c>
      <c r="AQ1589" s="115" t="s">
        <v>587</v>
      </c>
      <c r="AR1589" s="115" t="s">
        <v>1269</v>
      </c>
      <c r="AS1589" s="115">
        <v>3</v>
      </c>
      <c r="AT1589" s="115">
        <v>3</v>
      </c>
      <c r="AU1589" s="115" t="s">
        <v>169</v>
      </c>
      <c r="AZ1589" s="115" t="s">
        <v>1273</v>
      </c>
      <c r="BM1589" s="115">
        <f>(1000000/(100*100*0.3*1.41*1000))*26.4</f>
        <v>6.2411347517730498</v>
      </c>
      <c r="BN1589" s="115">
        <f>(1000000/(100*100*0.3*1.41*1000))*35.9</f>
        <v>8.4869976359338057</v>
      </c>
      <c r="BO1589" s="115" t="s">
        <v>1859</v>
      </c>
      <c r="FR1589" s="115" t="s">
        <v>1277</v>
      </c>
      <c r="FT1589" s="115">
        <v>73</v>
      </c>
    </row>
    <row r="1590" spans="1:176" s="115" customFormat="1" x14ac:dyDescent="0.25">
      <c r="A1590" s="115">
        <v>73</v>
      </c>
      <c r="B1590" s="115" t="s">
        <v>1265</v>
      </c>
      <c r="C1590" s="115" t="s">
        <v>1266</v>
      </c>
      <c r="D1590" s="115">
        <v>2003</v>
      </c>
      <c r="E1590" s="115">
        <v>1998</v>
      </c>
      <c r="F1590" s="115" t="s">
        <v>1267</v>
      </c>
      <c r="G1590" s="115" t="s">
        <v>1295</v>
      </c>
      <c r="H1590" s="115">
        <v>50.29</v>
      </c>
      <c r="I1590" s="115">
        <v>-107.8</v>
      </c>
      <c r="J1590" s="115">
        <v>757</v>
      </c>
      <c r="P1590" s="116">
        <v>11</v>
      </c>
      <c r="Q1590" s="116" t="s">
        <v>1264</v>
      </c>
      <c r="R1590" s="116" t="s">
        <v>1272</v>
      </c>
      <c r="S1590" s="116" t="s">
        <v>1578</v>
      </c>
      <c r="T1590" s="116" t="s">
        <v>1565</v>
      </c>
      <c r="U1590" s="116" t="s">
        <v>1593</v>
      </c>
      <c r="V1590" s="116" t="s">
        <v>1908</v>
      </c>
      <c r="W1590" s="115">
        <v>1.41</v>
      </c>
      <c r="Z1590" s="115" t="s">
        <v>167</v>
      </c>
      <c r="AD1590" s="115" t="s">
        <v>1519</v>
      </c>
      <c r="AE1590" s="115" t="s">
        <v>666</v>
      </c>
      <c r="AF1590" s="152" t="s">
        <v>666</v>
      </c>
      <c r="AG1590" s="115" t="s">
        <v>1716</v>
      </c>
      <c r="AH1590" s="159" t="s">
        <v>144</v>
      </c>
      <c r="AI1590" s="115" t="s">
        <v>1256</v>
      </c>
      <c r="AJ1590" s="115" t="s">
        <v>1256</v>
      </c>
      <c r="AK1590" s="115" t="s">
        <v>212</v>
      </c>
      <c r="AO1590" s="115" t="s">
        <v>1270</v>
      </c>
      <c r="AP1590" s="115" t="s">
        <v>1271</v>
      </c>
      <c r="AQ1590" s="115" t="s">
        <v>587</v>
      </c>
      <c r="AR1590" s="115" t="s">
        <v>1269</v>
      </c>
      <c r="AS1590" s="115">
        <v>3</v>
      </c>
      <c r="AT1590" s="115">
        <v>3</v>
      </c>
      <c r="AU1590" s="115" t="s">
        <v>169</v>
      </c>
      <c r="AZ1590" s="115" t="s">
        <v>1273</v>
      </c>
      <c r="BM1590" s="115">
        <f>(1000000/(100*100*0.3*1.41*1000))*18.2</f>
        <v>4.3026004728132383</v>
      </c>
      <c r="BN1590" s="115">
        <f>(1000000/(100*100*0.3*1.41*1000))*21.3</f>
        <v>5.0354609929078018</v>
      </c>
      <c r="BO1590" s="115" t="s">
        <v>1859</v>
      </c>
      <c r="FR1590" s="115" t="s">
        <v>1277</v>
      </c>
      <c r="FT1590" s="115">
        <v>73</v>
      </c>
    </row>
    <row r="1591" spans="1:176" s="115" customFormat="1" x14ac:dyDescent="0.25">
      <c r="A1591" s="115">
        <v>73</v>
      </c>
      <c r="B1591" s="115" t="s">
        <v>1265</v>
      </c>
      <c r="C1591" s="115" t="s">
        <v>1266</v>
      </c>
      <c r="D1591" s="115">
        <v>2003</v>
      </c>
      <c r="E1591" s="115">
        <v>1999</v>
      </c>
      <c r="F1591" s="115" t="s">
        <v>1267</v>
      </c>
      <c r="G1591" s="115" t="s">
        <v>1295</v>
      </c>
      <c r="H1591" s="115">
        <v>50.29</v>
      </c>
      <c r="I1591" s="115">
        <v>-107.8</v>
      </c>
      <c r="J1591" s="115">
        <v>757</v>
      </c>
      <c r="P1591" s="116">
        <v>12</v>
      </c>
      <c r="Q1591" s="116" t="s">
        <v>1264</v>
      </c>
      <c r="R1591" s="116" t="s">
        <v>1272</v>
      </c>
      <c r="S1591" s="116" t="s">
        <v>1578</v>
      </c>
      <c r="T1591" s="116" t="s">
        <v>1565</v>
      </c>
      <c r="U1591" s="116" t="s">
        <v>1593</v>
      </c>
      <c r="V1591" s="116" t="s">
        <v>1908</v>
      </c>
      <c r="W1591" s="115">
        <v>1.41</v>
      </c>
      <c r="Z1591" s="115" t="s">
        <v>167</v>
      </c>
      <c r="AD1591" s="115" t="s">
        <v>1519</v>
      </c>
      <c r="AE1591" s="115" t="s">
        <v>666</v>
      </c>
      <c r="AF1591" s="152" t="s">
        <v>666</v>
      </c>
      <c r="AG1591" s="115" t="s">
        <v>1716</v>
      </c>
      <c r="AH1591" s="159" t="s">
        <v>144</v>
      </c>
      <c r="AI1591" s="115" t="s">
        <v>1256</v>
      </c>
      <c r="AJ1591" s="115" t="s">
        <v>1256</v>
      </c>
      <c r="AK1591" s="115" t="s">
        <v>212</v>
      </c>
      <c r="AO1591" s="115" t="s">
        <v>1270</v>
      </c>
      <c r="AP1591" s="115" t="s">
        <v>1271</v>
      </c>
      <c r="AQ1591" s="115" t="s">
        <v>587</v>
      </c>
      <c r="AR1591" s="115" t="s">
        <v>1269</v>
      </c>
      <c r="AS1591" s="115">
        <v>3</v>
      </c>
      <c r="AT1591" s="115">
        <v>3</v>
      </c>
      <c r="AU1591" s="115" t="s">
        <v>169</v>
      </c>
      <c r="AZ1591" s="115" t="s">
        <v>1273</v>
      </c>
      <c r="BM1591" s="115">
        <f>(1000000/(100*100*0.3*1.41*1000))*28.1</f>
        <v>6.6430260047281333</v>
      </c>
      <c r="BN1591" s="115">
        <f>(1000000/(100*100*0.3*1.41*1000))*14.3</f>
        <v>3.3806146572104021</v>
      </c>
      <c r="BO1591" s="115" t="s">
        <v>1859</v>
      </c>
      <c r="FR1591" s="115" t="s">
        <v>1277</v>
      </c>
      <c r="FT1591" s="115">
        <v>73</v>
      </c>
    </row>
    <row r="1592" spans="1:176" s="113" customFormat="1" x14ac:dyDescent="0.25">
      <c r="A1592" s="113">
        <v>73</v>
      </c>
      <c r="B1592" s="113" t="s">
        <v>1265</v>
      </c>
      <c r="C1592" s="113" t="s">
        <v>1266</v>
      </c>
      <c r="D1592" s="113">
        <v>2003</v>
      </c>
      <c r="E1592" s="113">
        <v>1988</v>
      </c>
      <c r="F1592" s="113" t="s">
        <v>1267</v>
      </c>
      <c r="G1592" s="113" t="s">
        <v>1295</v>
      </c>
      <c r="H1592" s="113">
        <v>50.29</v>
      </c>
      <c r="I1592" s="113">
        <v>-107.8</v>
      </c>
      <c r="J1592" s="113">
        <v>757</v>
      </c>
      <c r="P1592" s="114">
        <v>1</v>
      </c>
      <c r="Q1592" s="114" t="s">
        <v>1264</v>
      </c>
      <c r="R1592" s="114" t="s">
        <v>1272</v>
      </c>
      <c r="S1592" s="114" t="s">
        <v>1579</v>
      </c>
      <c r="T1592" s="114" t="s">
        <v>1565</v>
      </c>
      <c r="U1592" s="114" t="s">
        <v>1593</v>
      </c>
      <c r="V1592" s="114" t="s">
        <v>1908</v>
      </c>
      <c r="W1592" s="113">
        <v>1.61</v>
      </c>
      <c r="Z1592" s="113" t="s">
        <v>167</v>
      </c>
      <c r="AD1592" s="113" t="s">
        <v>1519</v>
      </c>
      <c r="AE1592" s="113" t="s">
        <v>666</v>
      </c>
      <c r="AF1592" s="152" t="s">
        <v>666</v>
      </c>
      <c r="AG1592" s="113" t="s">
        <v>1716</v>
      </c>
      <c r="AH1592" s="159" t="s">
        <v>144</v>
      </c>
      <c r="AI1592" s="113" t="s">
        <v>1256</v>
      </c>
      <c r="AJ1592" s="113" t="s">
        <v>1256</v>
      </c>
      <c r="AK1592" s="113" t="s">
        <v>212</v>
      </c>
      <c r="AO1592" s="113" t="s">
        <v>1270</v>
      </c>
      <c r="AP1592" s="113" t="s">
        <v>1271</v>
      </c>
      <c r="AQ1592" s="113" t="s">
        <v>587</v>
      </c>
      <c r="AR1592" s="113" t="s">
        <v>1269</v>
      </c>
      <c r="AS1592" s="113">
        <v>3</v>
      </c>
      <c r="AT1592" s="113">
        <v>3</v>
      </c>
      <c r="AU1592" s="113" t="s">
        <v>169</v>
      </c>
      <c r="AZ1592" s="113" t="s">
        <v>1273</v>
      </c>
      <c r="BM1592" s="113">
        <f>(1000000/(100*100*0.3*1.61*1000))*31.7</f>
        <v>6.5631469979296071</v>
      </c>
      <c r="BN1592" s="113">
        <f>(1000000/(100*100*0.3*1.61*1000))*14.3</f>
        <v>2.9606625258799175</v>
      </c>
      <c r="BO1592" s="113" t="s">
        <v>1859</v>
      </c>
      <c r="FR1592" s="113" t="s">
        <v>1277</v>
      </c>
      <c r="FT1592" s="113">
        <v>73</v>
      </c>
    </row>
    <row r="1593" spans="1:176" s="113" customFormat="1" x14ac:dyDescent="0.25">
      <c r="A1593" s="113">
        <v>73</v>
      </c>
      <c r="B1593" s="113" t="s">
        <v>1265</v>
      </c>
      <c r="C1593" s="113" t="s">
        <v>1266</v>
      </c>
      <c r="D1593" s="113">
        <v>2003</v>
      </c>
      <c r="E1593" s="113">
        <v>1989</v>
      </c>
      <c r="F1593" s="113" t="s">
        <v>1267</v>
      </c>
      <c r="G1593" s="113" t="s">
        <v>1295</v>
      </c>
      <c r="H1593" s="113">
        <v>50.29</v>
      </c>
      <c r="I1593" s="113">
        <v>-107.8</v>
      </c>
      <c r="J1593" s="113">
        <v>757</v>
      </c>
      <c r="P1593" s="114">
        <v>2</v>
      </c>
      <c r="Q1593" s="114" t="s">
        <v>1264</v>
      </c>
      <c r="R1593" s="114" t="s">
        <v>1272</v>
      </c>
      <c r="S1593" s="114" t="s">
        <v>1579</v>
      </c>
      <c r="T1593" s="114" t="s">
        <v>1565</v>
      </c>
      <c r="U1593" s="114" t="s">
        <v>1593</v>
      </c>
      <c r="V1593" s="114" t="s">
        <v>1908</v>
      </c>
      <c r="W1593" s="113">
        <v>1.61</v>
      </c>
      <c r="Z1593" s="113" t="s">
        <v>167</v>
      </c>
      <c r="AD1593" s="113" t="s">
        <v>1519</v>
      </c>
      <c r="AE1593" s="113" t="s">
        <v>666</v>
      </c>
      <c r="AF1593" s="152" t="s">
        <v>666</v>
      </c>
      <c r="AG1593" s="113" t="s">
        <v>1716</v>
      </c>
      <c r="AH1593" s="159" t="s">
        <v>144</v>
      </c>
      <c r="AI1593" s="113" t="s">
        <v>1256</v>
      </c>
      <c r="AJ1593" s="113" t="s">
        <v>1256</v>
      </c>
      <c r="AK1593" s="113" t="s">
        <v>212</v>
      </c>
      <c r="AO1593" s="113" t="s">
        <v>1270</v>
      </c>
      <c r="AP1593" s="113" t="s">
        <v>1271</v>
      </c>
      <c r="AQ1593" s="113" t="s">
        <v>587</v>
      </c>
      <c r="AR1593" s="113" t="s">
        <v>1269</v>
      </c>
      <c r="AS1593" s="113">
        <v>3</v>
      </c>
      <c r="AT1593" s="113">
        <v>3</v>
      </c>
      <c r="AU1593" s="113" t="s">
        <v>169</v>
      </c>
      <c r="AZ1593" s="113" t="s">
        <v>1273</v>
      </c>
      <c r="BM1593" s="113">
        <f>(1000000/(100*100*0.3*1.61*1000))*22.1</f>
        <v>4.5755693581780541</v>
      </c>
      <c r="BN1593" s="113">
        <f>(1000000/(100*100*0.3*1.61*1000))*17.2</f>
        <v>3.5610766045548656</v>
      </c>
      <c r="BO1593" s="113" t="s">
        <v>1859</v>
      </c>
      <c r="FR1593" s="113" t="s">
        <v>1277</v>
      </c>
      <c r="FT1593" s="113">
        <v>73</v>
      </c>
    </row>
    <row r="1594" spans="1:176" s="113" customFormat="1" x14ac:dyDescent="0.25">
      <c r="A1594" s="113">
        <v>73</v>
      </c>
      <c r="B1594" s="113" t="s">
        <v>1265</v>
      </c>
      <c r="C1594" s="113" t="s">
        <v>1266</v>
      </c>
      <c r="D1594" s="113">
        <v>2003</v>
      </c>
      <c r="E1594" s="113">
        <v>1990</v>
      </c>
      <c r="F1594" s="113" t="s">
        <v>1267</v>
      </c>
      <c r="G1594" s="113" t="s">
        <v>1295</v>
      </c>
      <c r="H1594" s="113">
        <v>50.29</v>
      </c>
      <c r="I1594" s="113">
        <v>-107.8</v>
      </c>
      <c r="J1594" s="113">
        <v>757</v>
      </c>
      <c r="P1594" s="114">
        <v>3</v>
      </c>
      <c r="Q1594" s="114" t="s">
        <v>1264</v>
      </c>
      <c r="R1594" s="114" t="s">
        <v>1272</v>
      </c>
      <c r="S1594" s="114" t="s">
        <v>1579</v>
      </c>
      <c r="T1594" s="114" t="s">
        <v>1565</v>
      </c>
      <c r="U1594" s="114" t="s">
        <v>1593</v>
      </c>
      <c r="V1594" s="114" t="s">
        <v>1908</v>
      </c>
      <c r="W1594" s="113">
        <v>1.61</v>
      </c>
      <c r="Z1594" s="113" t="s">
        <v>167</v>
      </c>
      <c r="AD1594" s="113" t="s">
        <v>1519</v>
      </c>
      <c r="AE1594" s="113" t="s">
        <v>666</v>
      </c>
      <c r="AF1594" s="152" t="s">
        <v>666</v>
      </c>
      <c r="AG1594" s="113" t="s">
        <v>1716</v>
      </c>
      <c r="AH1594" s="159" t="s">
        <v>144</v>
      </c>
      <c r="AI1594" s="113" t="s">
        <v>1256</v>
      </c>
      <c r="AJ1594" s="113" t="s">
        <v>1256</v>
      </c>
      <c r="AK1594" s="113" t="s">
        <v>212</v>
      </c>
      <c r="AO1594" s="113" t="s">
        <v>1270</v>
      </c>
      <c r="AP1594" s="113" t="s">
        <v>1271</v>
      </c>
      <c r="AQ1594" s="113" t="s">
        <v>587</v>
      </c>
      <c r="AR1594" s="113" t="s">
        <v>1269</v>
      </c>
      <c r="AS1594" s="113">
        <v>3</v>
      </c>
      <c r="AT1594" s="113">
        <v>3</v>
      </c>
      <c r="AU1594" s="113" t="s">
        <v>169</v>
      </c>
      <c r="AZ1594" s="113" t="s">
        <v>1273</v>
      </c>
      <c r="BM1594" s="113">
        <f>(1000000/(100*100*0.3*1.61*1000))*37.6</f>
        <v>7.7846790890269162</v>
      </c>
      <c r="BN1594" s="113">
        <f>(1000000/(100*100*0.3*1.61*1000))*30.6</f>
        <v>6.3354037267080754</v>
      </c>
      <c r="BO1594" s="113" t="s">
        <v>1859</v>
      </c>
      <c r="FR1594" s="113" t="s">
        <v>1277</v>
      </c>
      <c r="FT1594" s="113">
        <v>73</v>
      </c>
    </row>
    <row r="1595" spans="1:176" s="113" customFormat="1" x14ac:dyDescent="0.25">
      <c r="A1595" s="113">
        <v>73</v>
      </c>
      <c r="B1595" s="113" t="s">
        <v>1265</v>
      </c>
      <c r="C1595" s="113" t="s">
        <v>1266</v>
      </c>
      <c r="D1595" s="113">
        <v>2003</v>
      </c>
      <c r="E1595" s="113">
        <v>1991</v>
      </c>
      <c r="F1595" s="113" t="s">
        <v>1267</v>
      </c>
      <c r="G1595" s="113" t="s">
        <v>1295</v>
      </c>
      <c r="H1595" s="113">
        <v>50.29</v>
      </c>
      <c r="I1595" s="113">
        <v>-107.8</v>
      </c>
      <c r="J1595" s="113">
        <v>757</v>
      </c>
      <c r="P1595" s="114">
        <v>4</v>
      </c>
      <c r="Q1595" s="114" t="s">
        <v>1264</v>
      </c>
      <c r="R1595" s="114" t="s">
        <v>1272</v>
      </c>
      <c r="S1595" s="114" t="s">
        <v>1579</v>
      </c>
      <c r="T1595" s="114" t="s">
        <v>1565</v>
      </c>
      <c r="U1595" s="114" t="s">
        <v>1593</v>
      </c>
      <c r="V1595" s="114" t="s">
        <v>1908</v>
      </c>
      <c r="W1595" s="113">
        <v>1.61</v>
      </c>
      <c r="Z1595" s="113" t="s">
        <v>167</v>
      </c>
      <c r="AD1595" s="113" t="s">
        <v>1519</v>
      </c>
      <c r="AE1595" s="113" t="s">
        <v>666</v>
      </c>
      <c r="AF1595" s="152" t="s">
        <v>666</v>
      </c>
      <c r="AG1595" s="113" t="s">
        <v>1716</v>
      </c>
      <c r="AH1595" s="159" t="s">
        <v>144</v>
      </c>
      <c r="AI1595" s="113" t="s">
        <v>1256</v>
      </c>
      <c r="AJ1595" s="113" t="s">
        <v>1256</v>
      </c>
      <c r="AK1595" s="113" t="s">
        <v>212</v>
      </c>
      <c r="AO1595" s="113" t="s">
        <v>1270</v>
      </c>
      <c r="AP1595" s="113" t="s">
        <v>1271</v>
      </c>
      <c r="AQ1595" s="113" t="s">
        <v>587</v>
      </c>
      <c r="AR1595" s="113" t="s">
        <v>1269</v>
      </c>
      <c r="AS1595" s="113">
        <v>3</v>
      </c>
      <c r="AT1595" s="113">
        <v>3</v>
      </c>
      <c r="AU1595" s="113" t="s">
        <v>169</v>
      </c>
      <c r="AZ1595" s="113" t="s">
        <v>1273</v>
      </c>
      <c r="BM1595" s="113">
        <f>(1000000/(100*100*0.3*1.61*1000))*33.6</f>
        <v>6.9565217391304355</v>
      </c>
      <c r="BN1595" s="113">
        <f>(1000000/(100*100*0.3*1.61*1000))*50</f>
        <v>10.351966873706004</v>
      </c>
      <c r="BO1595" s="113" t="s">
        <v>1859</v>
      </c>
      <c r="FR1595" s="113" t="s">
        <v>1277</v>
      </c>
      <c r="FT1595" s="113">
        <v>73</v>
      </c>
    </row>
    <row r="1596" spans="1:176" s="113" customFormat="1" x14ac:dyDescent="0.25">
      <c r="A1596" s="113">
        <v>73</v>
      </c>
      <c r="B1596" s="113" t="s">
        <v>1265</v>
      </c>
      <c r="C1596" s="113" t="s">
        <v>1266</v>
      </c>
      <c r="D1596" s="113">
        <v>2003</v>
      </c>
      <c r="E1596" s="113">
        <v>1992</v>
      </c>
      <c r="F1596" s="113" t="s">
        <v>1267</v>
      </c>
      <c r="G1596" s="113" t="s">
        <v>1295</v>
      </c>
      <c r="H1596" s="113">
        <v>50.29</v>
      </c>
      <c r="I1596" s="113">
        <v>-107.8</v>
      </c>
      <c r="J1596" s="113">
        <v>757</v>
      </c>
      <c r="P1596" s="114">
        <v>5</v>
      </c>
      <c r="Q1596" s="114" t="s">
        <v>1264</v>
      </c>
      <c r="R1596" s="114" t="s">
        <v>1272</v>
      </c>
      <c r="S1596" s="114" t="s">
        <v>1579</v>
      </c>
      <c r="T1596" s="114" t="s">
        <v>1565</v>
      </c>
      <c r="U1596" s="114" t="s">
        <v>1593</v>
      </c>
      <c r="V1596" s="114" t="s">
        <v>1908</v>
      </c>
      <c r="W1596" s="113">
        <v>1.61</v>
      </c>
      <c r="Z1596" s="113" t="s">
        <v>167</v>
      </c>
      <c r="AD1596" s="113" t="s">
        <v>1519</v>
      </c>
      <c r="AE1596" s="113" t="s">
        <v>666</v>
      </c>
      <c r="AF1596" s="152" t="s">
        <v>666</v>
      </c>
      <c r="AG1596" s="113" t="s">
        <v>1716</v>
      </c>
      <c r="AH1596" s="159" t="s">
        <v>144</v>
      </c>
      <c r="AI1596" s="113" t="s">
        <v>1256</v>
      </c>
      <c r="AJ1596" s="113" t="s">
        <v>1256</v>
      </c>
      <c r="AK1596" s="113" t="s">
        <v>212</v>
      </c>
      <c r="AO1596" s="113" t="s">
        <v>1270</v>
      </c>
      <c r="AP1596" s="113" t="s">
        <v>1271</v>
      </c>
      <c r="AQ1596" s="113" t="s">
        <v>587</v>
      </c>
      <c r="AR1596" s="113" t="s">
        <v>1269</v>
      </c>
      <c r="AS1596" s="113">
        <v>3</v>
      </c>
      <c r="AT1596" s="113">
        <v>3</v>
      </c>
      <c r="AU1596" s="113" t="s">
        <v>169</v>
      </c>
      <c r="AZ1596" s="113" t="s">
        <v>1273</v>
      </c>
      <c r="BM1596" s="113">
        <f>(1000000/(100*100*0.3*1.61*1000))*13.4</f>
        <v>2.7743271221532093</v>
      </c>
      <c r="BN1596" s="113">
        <f>(1000000/(100*100*0.3*1.61*1000))*17.6</f>
        <v>3.643892339544514</v>
      </c>
      <c r="BO1596" s="113" t="s">
        <v>1859</v>
      </c>
      <c r="FR1596" s="113" t="s">
        <v>1277</v>
      </c>
      <c r="FT1596" s="113">
        <v>73</v>
      </c>
    </row>
    <row r="1597" spans="1:176" s="113" customFormat="1" x14ac:dyDescent="0.25">
      <c r="A1597" s="113">
        <v>73</v>
      </c>
      <c r="B1597" s="113" t="s">
        <v>1265</v>
      </c>
      <c r="C1597" s="113" t="s">
        <v>1266</v>
      </c>
      <c r="D1597" s="113">
        <v>2003</v>
      </c>
      <c r="E1597" s="113">
        <v>1993</v>
      </c>
      <c r="F1597" s="113" t="s">
        <v>1267</v>
      </c>
      <c r="G1597" s="113" t="s">
        <v>1295</v>
      </c>
      <c r="H1597" s="113">
        <v>50.29</v>
      </c>
      <c r="I1597" s="113">
        <v>-107.8</v>
      </c>
      <c r="J1597" s="113">
        <v>757</v>
      </c>
      <c r="P1597" s="114">
        <v>6</v>
      </c>
      <c r="Q1597" s="114" t="s">
        <v>1264</v>
      </c>
      <c r="R1597" s="114" t="s">
        <v>1272</v>
      </c>
      <c r="S1597" s="114" t="s">
        <v>1579</v>
      </c>
      <c r="T1597" s="114" t="s">
        <v>1565</v>
      </c>
      <c r="U1597" s="114" t="s">
        <v>1593</v>
      </c>
      <c r="V1597" s="114" t="s">
        <v>1908</v>
      </c>
      <c r="W1597" s="113">
        <v>1.61</v>
      </c>
      <c r="Z1597" s="113" t="s">
        <v>167</v>
      </c>
      <c r="AD1597" s="113" t="s">
        <v>1519</v>
      </c>
      <c r="AE1597" s="113" t="s">
        <v>666</v>
      </c>
      <c r="AF1597" s="152" t="s">
        <v>666</v>
      </c>
      <c r="AG1597" s="113" t="s">
        <v>1716</v>
      </c>
      <c r="AH1597" s="159" t="s">
        <v>144</v>
      </c>
      <c r="AI1597" s="113" t="s">
        <v>1256</v>
      </c>
      <c r="AJ1597" s="113" t="s">
        <v>1256</v>
      </c>
      <c r="AK1597" s="113" t="s">
        <v>212</v>
      </c>
      <c r="AO1597" s="113" t="s">
        <v>1270</v>
      </c>
      <c r="AP1597" s="113" t="s">
        <v>1271</v>
      </c>
      <c r="AQ1597" s="113" t="s">
        <v>587</v>
      </c>
      <c r="AR1597" s="113" t="s">
        <v>1269</v>
      </c>
      <c r="AS1597" s="113">
        <v>3</v>
      </c>
      <c r="AT1597" s="113">
        <v>3</v>
      </c>
      <c r="AU1597" s="113" t="s">
        <v>169</v>
      </c>
      <c r="AZ1597" s="113" t="s">
        <v>1273</v>
      </c>
      <c r="BM1597" s="113">
        <f>(1000000/(100*100*0.3*1.61*1000))*15.2</f>
        <v>3.1469979296066253</v>
      </c>
      <c r="BN1597" s="113">
        <f>(1000000/(100*100*0.3*1.61*1000))*11.3</f>
        <v>2.3395445134575574</v>
      </c>
      <c r="BO1597" s="113" t="s">
        <v>1859</v>
      </c>
      <c r="FR1597" s="113" t="s">
        <v>1277</v>
      </c>
      <c r="FT1597" s="113">
        <v>73</v>
      </c>
    </row>
    <row r="1598" spans="1:176" s="113" customFormat="1" x14ac:dyDescent="0.25">
      <c r="A1598" s="113">
        <v>73</v>
      </c>
      <c r="B1598" s="113" t="s">
        <v>1265</v>
      </c>
      <c r="C1598" s="113" t="s">
        <v>1266</v>
      </c>
      <c r="D1598" s="113">
        <v>2003</v>
      </c>
      <c r="E1598" s="113">
        <v>1994</v>
      </c>
      <c r="F1598" s="113" t="s">
        <v>1267</v>
      </c>
      <c r="G1598" s="113" t="s">
        <v>1295</v>
      </c>
      <c r="H1598" s="113">
        <v>50.29</v>
      </c>
      <c r="I1598" s="113">
        <v>-107.8</v>
      </c>
      <c r="J1598" s="113">
        <v>757</v>
      </c>
      <c r="P1598" s="114">
        <v>7</v>
      </c>
      <c r="Q1598" s="114" t="s">
        <v>1264</v>
      </c>
      <c r="R1598" s="114" t="s">
        <v>1272</v>
      </c>
      <c r="S1598" s="114" t="s">
        <v>1579</v>
      </c>
      <c r="T1598" s="114" t="s">
        <v>1565</v>
      </c>
      <c r="U1598" s="114" t="s">
        <v>1593</v>
      </c>
      <c r="V1598" s="114" t="s">
        <v>1908</v>
      </c>
      <c r="W1598" s="113">
        <v>1.61</v>
      </c>
      <c r="Z1598" s="113" t="s">
        <v>167</v>
      </c>
      <c r="AD1598" s="113" t="s">
        <v>1519</v>
      </c>
      <c r="AE1598" s="113" t="s">
        <v>666</v>
      </c>
      <c r="AF1598" s="152" t="s">
        <v>666</v>
      </c>
      <c r="AG1598" s="113" t="s">
        <v>1716</v>
      </c>
      <c r="AH1598" s="159" t="s">
        <v>144</v>
      </c>
      <c r="AI1598" s="113" t="s">
        <v>1256</v>
      </c>
      <c r="AJ1598" s="113" t="s">
        <v>1256</v>
      </c>
      <c r="AK1598" s="113" t="s">
        <v>212</v>
      </c>
      <c r="AO1598" s="113" t="s">
        <v>1270</v>
      </c>
      <c r="AP1598" s="113" t="s">
        <v>1271</v>
      </c>
      <c r="AQ1598" s="113" t="s">
        <v>587</v>
      </c>
      <c r="AR1598" s="113" t="s">
        <v>1269</v>
      </c>
      <c r="AS1598" s="113">
        <v>3</v>
      </c>
      <c r="AT1598" s="113">
        <v>3</v>
      </c>
      <c r="AU1598" s="113" t="s">
        <v>169</v>
      </c>
      <c r="AZ1598" s="113" t="s">
        <v>1273</v>
      </c>
      <c r="BM1598" s="113">
        <f>(1000000/(100*100*0.3*1.61*1000))*7.7</f>
        <v>1.5942028985507248</v>
      </c>
      <c r="BN1598" s="113">
        <f>(1000000/(100*100*0.3*1.61*1000))*10.7</f>
        <v>2.2153209109730847</v>
      </c>
      <c r="BO1598" s="113" t="s">
        <v>1859</v>
      </c>
      <c r="FR1598" s="113" t="s">
        <v>1277</v>
      </c>
      <c r="FT1598" s="113">
        <v>73</v>
      </c>
    </row>
    <row r="1599" spans="1:176" s="113" customFormat="1" x14ac:dyDescent="0.25">
      <c r="A1599" s="113">
        <v>73</v>
      </c>
      <c r="B1599" s="113" t="s">
        <v>1265</v>
      </c>
      <c r="C1599" s="113" t="s">
        <v>1266</v>
      </c>
      <c r="D1599" s="113">
        <v>2003</v>
      </c>
      <c r="E1599" s="113">
        <v>1995</v>
      </c>
      <c r="F1599" s="113" t="s">
        <v>1267</v>
      </c>
      <c r="G1599" s="113" t="s">
        <v>1295</v>
      </c>
      <c r="H1599" s="113">
        <v>50.29</v>
      </c>
      <c r="I1599" s="113">
        <v>-107.8</v>
      </c>
      <c r="J1599" s="113">
        <v>757</v>
      </c>
      <c r="P1599" s="114">
        <v>8</v>
      </c>
      <c r="Q1599" s="114" t="s">
        <v>1264</v>
      </c>
      <c r="R1599" s="114" t="s">
        <v>1272</v>
      </c>
      <c r="S1599" s="114" t="s">
        <v>1579</v>
      </c>
      <c r="T1599" s="114" t="s">
        <v>1565</v>
      </c>
      <c r="U1599" s="114" t="s">
        <v>1593</v>
      </c>
      <c r="V1599" s="114" t="s">
        <v>1908</v>
      </c>
      <c r="W1599" s="113">
        <v>1.61</v>
      </c>
      <c r="Z1599" s="113" t="s">
        <v>167</v>
      </c>
      <c r="AD1599" s="113" t="s">
        <v>1519</v>
      </c>
      <c r="AE1599" s="113" t="s">
        <v>666</v>
      </c>
      <c r="AF1599" s="152" t="s">
        <v>666</v>
      </c>
      <c r="AG1599" s="113" t="s">
        <v>1716</v>
      </c>
      <c r="AH1599" s="159" t="s">
        <v>144</v>
      </c>
      <c r="AI1599" s="113" t="s">
        <v>1256</v>
      </c>
      <c r="AJ1599" s="113" t="s">
        <v>1256</v>
      </c>
      <c r="AK1599" s="113" t="s">
        <v>212</v>
      </c>
      <c r="AO1599" s="113" t="s">
        <v>1270</v>
      </c>
      <c r="AP1599" s="113" t="s">
        <v>1271</v>
      </c>
      <c r="AQ1599" s="113" t="s">
        <v>587</v>
      </c>
      <c r="AR1599" s="113" t="s">
        <v>1269</v>
      </c>
      <c r="AS1599" s="113">
        <v>3</v>
      </c>
      <c r="AT1599" s="113">
        <v>3</v>
      </c>
      <c r="AU1599" s="113" t="s">
        <v>169</v>
      </c>
      <c r="AZ1599" s="113" t="s">
        <v>1273</v>
      </c>
      <c r="BM1599" s="113">
        <f>(1000000/(100*100*0.3*1.61*1000))*7.3</f>
        <v>1.5113871635610767</v>
      </c>
      <c r="BN1599" s="113">
        <f>(1000000/(100*100*0.3*1.61*1000))*8.8</f>
        <v>1.821946169772257</v>
      </c>
      <c r="BO1599" s="113" t="s">
        <v>1859</v>
      </c>
      <c r="FR1599" s="113" t="s">
        <v>1277</v>
      </c>
      <c r="FT1599" s="113">
        <v>73</v>
      </c>
    </row>
    <row r="1600" spans="1:176" s="113" customFormat="1" x14ac:dyDescent="0.25">
      <c r="A1600" s="113">
        <v>73</v>
      </c>
      <c r="B1600" s="113" t="s">
        <v>1265</v>
      </c>
      <c r="C1600" s="113" t="s">
        <v>1266</v>
      </c>
      <c r="D1600" s="113">
        <v>2003</v>
      </c>
      <c r="E1600" s="113">
        <v>1996</v>
      </c>
      <c r="F1600" s="113" t="s">
        <v>1267</v>
      </c>
      <c r="G1600" s="113" t="s">
        <v>1295</v>
      </c>
      <c r="H1600" s="113">
        <v>50.29</v>
      </c>
      <c r="I1600" s="113">
        <v>-107.8</v>
      </c>
      <c r="J1600" s="113">
        <v>757</v>
      </c>
      <c r="P1600" s="114">
        <v>9</v>
      </c>
      <c r="Q1600" s="114" t="s">
        <v>1264</v>
      </c>
      <c r="R1600" s="114" t="s">
        <v>1272</v>
      </c>
      <c r="S1600" s="114" t="s">
        <v>1579</v>
      </c>
      <c r="T1600" s="114" t="s">
        <v>1565</v>
      </c>
      <c r="U1600" s="114" t="s">
        <v>1593</v>
      </c>
      <c r="V1600" s="114" t="s">
        <v>1908</v>
      </c>
      <c r="W1600" s="113">
        <v>1.61</v>
      </c>
      <c r="Z1600" s="113" t="s">
        <v>167</v>
      </c>
      <c r="AD1600" s="113" t="s">
        <v>1519</v>
      </c>
      <c r="AE1600" s="113" t="s">
        <v>666</v>
      </c>
      <c r="AF1600" s="152" t="s">
        <v>666</v>
      </c>
      <c r="AG1600" s="113" t="s">
        <v>1716</v>
      </c>
      <c r="AH1600" s="159" t="s">
        <v>144</v>
      </c>
      <c r="AI1600" s="113" t="s">
        <v>1256</v>
      </c>
      <c r="AJ1600" s="113" t="s">
        <v>1256</v>
      </c>
      <c r="AK1600" s="113" t="s">
        <v>212</v>
      </c>
      <c r="AO1600" s="113" t="s">
        <v>1270</v>
      </c>
      <c r="AP1600" s="113" t="s">
        <v>1271</v>
      </c>
      <c r="AQ1600" s="113" t="s">
        <v>587</v>
      </c>
      <c r="AR1600" s="113" t="s">
        <v>1269</v>
      </c>
      <c r="AS1600" s="113">
        <v>3</v>
      </c>
      <c r="AT1600" s="113">
        <v>3</v>
      </c>
      <c r="AU1600" s="113" t="s">
        <v>169</v>
      </c>
      <c r="AZ1600" s="113" t="s">
        <v>1273</v>
      </c>
      <c r="BM1600" s="113">
        <f>(1000000/(100*100*0.3*1.61*1000))*11.3</f>
        <v>2.3395445134575574</v>
      </c>
      <c r="BN1600" s="113">
        <f>(1000000/(100*100*0.3*1.61*1000))*11.4</f>
        <v>2.360248447204969</v>
      </c>
      <c r="BO1600" s="113" t="s">
        <v>1859</v>
      </c>
      <c r="FR1600" s="113" t="s">
        <v>1277</v>
      </c>
      <c r="FT1600" s="113">
        <v>73</v>
      </c>
    </row>
    <row r="1601" spans="1:176" s="113" customFormat="1" x14ac:dyDescent="0.25">
      <c r="A1601" s="113">
        <v>73</v>
      </c>
      <c r="B1601" s="113" t="s">
        <v>1265</v>
      </c>
      <c r="C1601" s="113" t="s">
        <v>1266</v>
      </c>
      <c r="D1601" s="113">
        <v>2003</v>
      </c>
      <c r="E1601" s="113">
        <v>1997</v>
      </c>
      <c r="F1601" s="113" t="s">
        <v>1267</v>
      </c>
      <c r="G1601" s="113" t="s">
        <v>1295</v>
      </c>
      <c r="H1601" s="113">
        <v>50.29</v>
      </c>
      <c r="I1601" s="113">
        <v>-107.8</v>
      </c>
      <c r="J1601" s="113">
        <v>757</v>
      </c>
      <c r="P1601" s="114">
        <v>10</v>
      </c>
      <c r="Q1601" s="114" t="s">
        <v>1264</v>
      </c>
      <c r="R1601" s="114" t="s">
        <v>1272</v>
      </c>
      <c r="S1601" s="114" t="s">
        <v>1579</v>
      </c>
      <c r="T1601" s="114" t="s">
        <v>1565</v>
      </c>
      <c r="U1601" s="114" t="s">
        <v>1593</v>
      </c>
      <c r="V1601" s="114" t="s">
        <v>1908</v>
      </c>
      <c r="W1601" s="113">
        <v>1.61</v>
      </c>
      <c r="Z1601" s="113" t="s">
        <v>167</v>
      </c>
      <c r="AD1601" s="113" t="s">
        <v>1519</v>
      </c>
      <c r="AE1601" s="113" t="s">
        <v>666</v>
      </c>
      <c r="AF1601" s="152" t="s">
        <v>666</v>
      </c>
      <c r="AG1601" s="113" t="s">
        <v>1716</v>
      </c>
      <c r="AH1601" s="159" t="s">
        <v>144</v>
      </c>
      <c r="AI1601" s="113" t="s">
        <v>1256</v>
      </c>
      <c r="AJ1601" s="113" t="s">
        <v>1256</v>
      </c>
      <c r="AK1601" s="113" t="s">
        <v>212</v>
      </c>
      <c r="AO1601" s="113" t="s">
        <v>1270</v>
      </c>
      <c r="AP1601" s="113" t="s">
        <v>1271</v>
      </c>
      <c r="AQ1601" s="113" t="s">
        <v>587</v>
      </c>
      <c r="AR1601" s="113" t="s">
        <v>1269</v>
      </c>
      <c r="AS1601" s="113">
        <v>3</v>
      </c>
      <c r="AT1601" s="113">
        <v>3</v>
      </c>
      <c r="AU1601" s="113" t="s">
        <v>169</v>
      </c>
      <c r="AZ1601" s="113" t="s">
        <v>1273</v>
      </c>
      <c r="BM1601" s="113">
        <f>(1000000/(100*100*0.3*1.61*1000))*13.9</f>
        <v>2.8778467908902692</v>
      </c>
      <c r="BN1601" s="113">
        <f>(1000000/(100*100*0.3*1.61*1000))*10.4</f>
        <v>2.1532091097308492</v>
      </c>
      <c r="BO1601" s="113" t="s">
        <v>1859</v>
      </c>
      <c r="FR1601" s="113" t="s">
        <v>1277</v>
      </c>
      <c r="FT1601" s="113">
        <v>73</v>
      </c>
    </row>
    <row r="1602" spans="1:176" s="113" customFormat="1" x14ac:dyDescent="0.25">
      <c r="A1602" s="113">
        <v>73</v>
      </c>
      <c r="B1602" s="113" t="s">
        <v>1265</v>
      </c>
      <c r="C1602" s="113" t="s">
        <v>1266</v>
      </c>
      <c r="D1602" s="113">
        <v>2003</v>
      </c>
      <c r="E1602" s="113">
        <v>1998</v>
      </c>
      <c r="F1602" s="113" t="s">
        <v>1267</v>
      </c>
      <c r="G1602" s="113" t="s">
        <v>1295</v>
      </c>
      <c r="H1602" s="113">
        <v>50.29</v>
      </c>
      <c r="I1602" s="113">
        <v>-107.8</v>
      </c>
      <c r="J1602" s="113">
        <v>757</v>
      </c>
      <c r="P1602" s="114">
        <v>11</v>
      </c>
      <c r="Q1602" s="114" t="s">
        <v>1264</v>
      </c>
      <c r="R1602" s="114" t="s">
        <v>1272</v>
      </c>
      <c r="S1602" s="114" t="s">
        <v>1579</v>
      </c>
      <c r="T1602" s="114" t="s">
        <v>1565</v>
      </c>
      <c r="U1602" s="114" t="s">
        <v>1593</v>
      </c>
      <c r="V1602" s="114" t="s">
        <v>1908</v>
      </c>
      <c r="W1602" s="113">
        <v>1.61</v>
      </c>
      <c r="Z1602" s="113" t="s">
        <v>167</v>
      </c>
      <c r="AD1602" s="113" t="s">
        <v>1519</v>
      </c>
      <c r="AE1602" s="113" t="s">
        <v>666</v>
      </c>
      <c r="AF1602" s="152" t="s">
        <v>666</v>
      </c>
      <c r="AG1602" s="113" t="s">
        <v>1716</v>
      </c>
      <c r="AH1602" s="159" t="s">
        <v>144</v>
      </c>
      <c r="AI1602" s="113" t="s">
        <v>1256</v>
      </c>
      <c r="AJ1602" s="113" t="s">
        <v>1256</v>
      </c>
      <c r="AK1602" s="113" t="s">
        <v>212</v>
      </c>
      <c r="AO1602" s="113" t="s">
        <v>1270</v>
      </c>
      <c r="AP1602" s="113" t="s">
        <v>1271</v>
      </c>
      <c r="AQ1602" s="113" t="s">
        <v>587</v>
      </c>
      <c r="AR1602" s="113" t="s">
        <v>1269</v>
      </c>
      <c r="AS1602" s="113">
        <v>3</v>
      </c>
      <c r="AT1602" s="113">
        <v>3</v>
      </c>
      <c r="AU1602" s="113" t="s">
        <v>169</v>
      </c>
      <c r="AZ1602" s="113" t="s">
        <v>1273</v>
      </c>
      <c r="BM1602" s="113">
        <f>(1000000/(100*100*0.3*1.61*1000))*15.4</f>
        <v>3.1884057971014497</v>
      </c>
      <c r="BN1602" s="113">
        <f>(1000000/(100*100*0.3*1.61*1000))*11.3</f>
        <v>2.3395445134575574</v>
      </c>
      <c r="BO1602" s="113" t="s">
        <v>1859</v>
      </c>
      <c r="FR1602" s="113" t="s">
        <v>1277</v>
      </c>
      <c r="FT1602" s="113">
        <v>73</v>
      </c>
    </row>
    <row r="1603" spans="1:176" s="113" customFormat="1" x14ac:dyDescent="0.25">
      <c r="A1603" s="113">
        <v>73</v>
      </c>
      <c r="B1603" s="113" t="s">
        <v>1265</v>
      </c>
      <c r="C1603" s="113" t="s">
        <v>1266</v>
      </c>
      <c r="D1603" s="113">
        <v>2003</v>
      </c>
      <c r="E1603" s="113">
        <v>1999</v>
      </c>
      <c r="F1603" s="113" t="s">
        <v>1267</v>
      </c>
      <c r="G1603" s="113" t="s">
        <v>1295</v>
      </c>
      <c r="H1603" s="113">
        <v>50.29</v>
      </c>
      <c r="I1603" s="113">
        <v>-107.8</v>
      </c>
      <c r="J1603" s="113">
        <v>757</v>
      </c>
      <c r="P1603" s="114">
        <v>12</v>
      </c>
      <c r="Q1603" s="114" t="s">
        <v>1264</v>
      </c>
      <c r="R1603" s="114" t="s">
        <v>1272</v>
      </c>
      <c r="S1603" s="114" t="s">
        <v>1579</v>
      </c>
      <c r="T1603" s="114" t="s">
        <v>1565</v>
      </c>
      <c r="U1603" s="114" t="s">
        <v>1593</v>
      </c>
      <c r="V1603" s="114" t="s">
        <v>1908</v>
      </c>
      <c r="W1603" s="113">
        <v>1.61</v>
      </c>
      <c r="Z1603" s="113" t="s">
        <v>167</v>
      </c>
      <c r="AD1603" s="113" t="s">
        <v>1519</v>
      </c>
      <c r="AE1603" s="113" t="s">
        <v>666</v>
      </c>
      <c r="AF1603" s="152" t="s">
        <v>666</v>
      </c>
      <c r="AG1603" s="113" t="s">
        <v>1716</v>
      </c>
      <c r="AH1603" s="159" t="s">
        <v>144</v>
      </c>
      <c r="AI1603" s="113" t="s">
        <v>1256</v>
      </c>
      <c r="AJ1603" s="113" t="s">
        <v>1256</v>
      </c>
      <c r="AK1603" s="113" t="s">
        <v>212</v>
      </c>
      <c r="AO1603" s="113" t="s">
        <v>1270</v>
      </c>
      <c r="AP1603" s="113" t="s">
        <v>1271</v>
      </c>
      <c r="AQ1603" s="113" t="s">
        <v>587</v>
      </c>
      <c r="AR1603" s="113" t="s">
        <v>1269</v>
      </c>
      <c r="AS1603" s="113">
        <v>3</v>
      </c>
      <c r="AT1603" s="113">
        <v>3</v>
      </c>
      <c r="AU1603" s="113" t="s">
        <v>169</v>
      </c>
      <c r="AZ1603" s="113" t="s">
        <v>1273</v>
      </c>
      <c r="BM1603" s="113">
        <f>(1000000/(100*100*0.3*1.61*1000))*11.3</f>
        <v>2.3395445134575574</v>
      </c>
      <c r="BN1603" s="113">
        <f>(1000000/(100*100*0.3*1.61*1000))*12</f>
        <v>2.4844720496894412</v>
      </c>
      <c r="BO1603" s="113" t="s">
        <v>1859</v>
      </c>
      <c r="FR1603" s="113" t="s">
        <v>1277</v>
      </c>
      <c r="FT1603" s="113">
        <v>73</v>
      </c>
    </row>
    <row r="1604" spans="1:176" s="115" customFormat="1" x14ac:dyDescent="0.25">
      <c r="A1604" s="115">
        <v>73</v>
      </c>
      <c r="B1604" s="115" t="s">
        <v>1265</v>
      </c>
      <c r="C1604" s="115" t="s">
        <v>1266</v>
      </c>
      <c r="D1604" s="115">
        <v>2003</v>
      </c>
      <c r="E1604" s="115">
        <v>1988</v>
      </c>
      <c r="F1604" s="115" t="s">
        <v>1267</v>
      </c>
      <c r="G1604" s="115" t="s">
        <v>1295</v>
      </c>
      <c r="H1604" s="115">
        <v>50.29</v>
      </c>
      <c r="I1604" s="115">
        <v>-107.8</v>
      </c>
      <c r="J1604" s="115">
        <v>757</v>
      </c>
      <c r="P1604" s="116">
        <v>1</v>
      </c>
      <c r="Q1604" s="116" t="s">
        <v>1264</v>
      </c>
      <c r="R1604" s="116" t="s">
        <v>1272</v>
      </c>
      <c r="S1604" s="116" t="s">
        <v>1591</v>
      </c>
      <c r="T1604" s="116" t="s">
        <v>1565</v>
      </c>
      <c r="U1604" s="116" t="s">
        <v>1593</v>
      </c>
      <c r="V1604" s="116" t="s">
        <v>1908</v>
      </c>
      <c r="W1604" s="115">
        <v>1.69</v>
      </c>
      <c r="Z1604" s="115" t="s">
        <v>167</v>
      </c>
      <c r="AD1604" s="115" t="s">
        <v>1519</v>
      </c>
      <c r="AE1604" s="115" t="s">
        <v>666</v>
      </c>
      <c r="AF1604" s="152" t="s">
        <v>666</v>
      </c>
      <c r="AG1604" s="115" t="s">
        <v>1716</v>
      </c>
      <c r="AH1604" s="159" t="s">
        <v>144</v>
      </c>
      <c r="AI1604" s="115" t="s">
        <v>1256</v>
      </c>
      <c r="AJ1604" s="115" t="s">
        <v>1256</v>
      </c>
      <c r="AK1604" s="115" t="s">
        <v>212</v>
      </c>
      <c r="AO1604" s="115" t="s">
        <v>1270</v>
      </c>
      <c r="AP1604" s="115" t="s">
        <v>1271</v>
      </c>
      <c r="AQ1604" s="115" t="s">
        <v>587</v>
      </c>
      <c r="AR1604" s="115" t="s">
        <v>1269</v>
      </c>
      <c r="AS1604" s="115">
        <v>3</v>
      </c>
      <c r="AT1604" s="115">
        <v>3</v>
      </c>
      <c r="AU1604" s="115" t="s">
        <v>169</v>
      </c>
      <c r="AZ1604" s="115" t="s">
        <v>1273</v>
      </c>
      <c r="BM1604" s="115">
        <f>(1000000/(100*100*0.3*1.69*1000))*22.4</f>
        <v>4.4181459566074945</v>
      </c>
      <c r="BN1604" s="115">
        <f>(1000000/(100*100*0.3*1.69*1000))*22.9</f>
        <v>4.5167652859960548</v>
      </c>
      <c r="BO1604" s="115" t="s">
        <v>1859</v>
      </c>
      <c r="FR1604" s="115" t="s">
        <v>1277</v>
      </c>
      <c r="FT1604" s="115">
        <v>73</v>
      </c>
    </row>
    <row r="1605" spans="1:176" s="115" customFormat="1" x14ac:dyDescent="0.25">
      <c r="A1605" s="115">
        <v>73</v>
      </c>
      <c r="B1605" s="115" t="s">
        <v>1265</v>
      </c>
      <c r="C1605" s="115" t="s">
        <v>1266</v>
      </c>
      <c r="D1605" s="115">
        <v>2003</v>
      </c>
      <c r="E1605" s="115">
        <v>1989</v>
      </c>
      <c r="F1605" s="115" t="s">
        <v>1267</v>
      </c>
      <c r="G1605" s="115" t="s">
        <v>1295</v>
      </c>
      <c r="H1605" s="115">
        <v>50.29</v>
      </c>
      <c r="I1605" s="115">
        <v>-107.8</v>
      </c>
      <c r="J1605" s="115">
        <v>757</v>
      </c>
      <c r="P1605" s="116">
        <v>2</v>
      </c>
      <c r="Q1605" s="116" t="s">
        <v>1264</v>
      </c>
      <c r="R1605" s="116" t="s">
        <v>1272</v>
      </c>
      <c r="S1605" s="116" t="s">
        <v>1591</v>
      </c>
      <c r="T1605" s="116" t="s">
        <v>1565</v>
      </c>
      <c r="U1605" s="116" t="s">
        <v>1593</v>
      </c>
      <c r="V1605" s="116" t="s">
        <v>1908</v>
      </c>
      <c r="W1605" s="115">
        <v>1.69</v>
      </c>
      <c r="Z1605" s="115" t="s">
        <v>167</v>
      </c>
      <c r="AD1605" s="115" t="s">
        <v>1519</v>
      </c>
      <c r="AE1605" s="115" t="s">
        <v>666</v>
      </c>
      <c r="AF1605" s="152" t="s">
        <v>666</v>
      </c>
      <c r="AG1605" s="115" t="s">
        <v>1716</v>
      </c>
      <c r="AH1605" s="159" t="s">
        <v>144</v>
      </c>
      <c r="AI1605" s="115" t="s">
        <v>1256</v>
      </c>
      <c r="AJ1605" s="115" t="s">
        <v>1256</v>
      </c>
      <c r="AK1605" s="115" t="s">
        <v>212</v>
      </c>
      <c r="AO1605" s="115" t="s">
        <v>1270</v>
      </c>
      <c r="AP1605" s="115" t="s">
        <v>1271</v>
      </c>
      <c r="AQ1605" s="115" t="s">
        <v>587</v>
      </c>
      <c r="AR1605" s="115" t="s">
        <v>1269</v>
      </c>
      <c r="AS1605" s="115">
        <v>3</v>
      </c>
      <c r="AT1605" s="115">
        <v>3</v>
      </c>
      <c r="AU1605" s="115" t="s">
        <v>169</v>
      </c>
      <c r="AZ1605" s="115" t="s">
        <v>1273</v>
      </c>
      <c r="BM1605" s="115">
        <f>(1000000/(100*100*0.3*1.69*1000))*26.3</f>
        <v>5.1873767258382646</v>
      </c>
      <c r="BN1605" s="115">
        <f>(1000000/(100*100*0.3*1.69*1000))*34.3</f>
        <v>6.7652859960552263</v>
      </c>
      <c r="BO1605" s="115" t="s">
        <v>1859</v>
      </c>
      <c r="FR1605" s="115" t="s">
        <v>1277</v>
      </c>
      <c r="FT1605" s="115">
        <v>73</v>
      </c>
    </row>
    <row r="1606" spans="1:176" s="115" customFormat="1" x14ac:dyDescent="0.25">
      <c r="A1606" s="115">
        <v>73</v>
      </c>
      <c r="B1606" s="115" t="s">
        <v>1265</v>
      </c>
      <c r="C1606" s="115" t="s">
        <v>1266</v>
      </c>
      <c r="D1606" s="115">
        <v>2003</v>
      </c>
      <c r="E1606" s="115">
        <v>1990</v>
      </c>
      <c r="F1606" s="115" t="s">
        <v>1267</v>
      </c>
      <c r="G1606" s="115" t="s">
        <v>1295</v>
      </c>
      <c r="H1606" s="115">
        <v>50.29</v>
      </c>
      <c r="I1606" s="115">
        <v>-107.8</v>
      </c>
      <c r="J1606" s="115">
        <v>757</v>
      </c>
      <c r="P1606" s="116">
        <v>3</v>
      </c>
      <c r="Q1606" s="116" t="s">
        <v>1264</v>
      </c>
      <c r="R1606" s="116" t="s">
        <v>1272</v>
      </c>
      <c r="S1606" s="116" t="s">
        <v>1591</v>
      </c>
      <c r="T1606" s="116" t="s">
        <v>1565</v>
      </c>
      <c r="U1606" s="116" t="s">
        <v>1593</v>
      </c>
      <c r="V1606" s="116" t="s">
        <v>1908</v>
      </c>
      <c r="W1606" s="115">
        <v>1.69</v>
      </c>
      <c r="Z1606" s="115" t="s">
        <v>167</v>
      </c>
      <c r="AD1606" s="115" t="s">
        <v>1519</v>
      </c>
      <c r="AE1606" s="115" t="s">
        <v>666</v>
      </c>
      <c r="AF1606" s="152" t="s">
        <v>666</v>
      </c>
      <c r="AG1606" s="115" t="s">
        <v>1716</v>
      </c>
      <c r="AH1606" s="159" t="s">
        <v>144</v>
      </c>
      <c r="AI1606" s="115" t="s">
        <v>1256</v>
      </c>
      <c r="AJ1606" s="115" t="s">
        <v>1256</v>
      </c>
      <c r="AK1606" s="115" t="s">
        <v>212</v>
      </c>
      <c r="AO1606" s="115" t="s">
        <v>1270</v>
      </c>
      <c r="AP1606" s="115" t="s">
        <v>1271</v>
      </c>
      <c r="AQ1606" s="115" t="s">
        <v>587</v>
      </c>
      <c r="AR1606" s="115" t="s">
        <v>1269</v>
      </c>
      <c r="AS1606" s="115">
        <v>3</v>
      </c>
      <c r="AT1606" s="115">
        <v>3</v>
      </c>
      <c r="AU1606" s="115" t="s">
        <v>169</v>
      </c>
      <c r="AZ1606" s="115" t="s">
        <v>1273</v>
      </c>
      <c r="BM1606" s="115">
        <f>(1000000/(100*100*0.3*1.69*1000))*33.5</f>
        <v>6.607495069033531</v>
      </c>
      <c r="BN1606" s="115">
        <f>(1000000/(100*100*0.3*1.69*1000))*34.8</f>
        <v>6.8639053254437865</v>
      </c>
      <c r="BO1606" s="115" t="s">
        <v>1859</v>
      </c>
      <c r="FR1606" s="115" t="s">
        <v>1277</v>
      </c>
      <c r="FT1606" s="115">
        <v>73</v>
      </c>
    </row>
    <row r="1607" spans="1:176" s="115" customFormat="1" x14ac:dyDescent="0.25">
      <c r="A1607" s="115">
        <v>73</v>
      </c>
      <c r="B1607" s="115" t="s">
        <v>1265</v>
      </c>
      <c r="C1607" s="115" t="s">
        <v>1266</v>
      </c>
      <c r="D1607" s="115">
        <v>2003</v>
      </c>
      <c r="E1607" s="115">
        <v>1991</v>
      </c>
      <c r="F1607" s="115" t="s">
        <v>1267</v>
      </c>
      <c r="G1607" s="115" t="s">
        <v>1295</v>
      </c>
      <c r="H1607" s="115">
        <v>50.29</v>
      </c>
      <c r="I1607" s="115">
        <v>-107.8</v>
      </c>
      <c r="J1607" s="115">
        <v>757</v>
      </c>
      <c r="P1607" s="116">
        <v>4</v>
      </c>
      <c r="Q1607" s="116" t="s">
        <v>1264</v>
      </c>
      <c r="R1607" s="116" t="s">
        <v>1272</v>
      </c>
      <c r="S1607" s="116" t="s">
        <v>1591</v>
      </c>
      <c r="T1607" s="116" t="s">
        <v>1565</v>
      </c>
      <c r="U1607" s="116" t="s">
        <v>1593</v>
      </c>
      <c r="V1607" s="116" t="s">
        <v>1908</v>
      </c>
      <c r="W1607" s="115">
        <v>1.69</v>
      </c>
      <c r="Z1607" s="115" t="s">
        <v>167</v>
      </c>
      <c r="AD1607" s="115" t="s">
        <v>1519</v>
      </c>
      <c r="AE1607" s="115" t="s">
        <v>666</v>
      </c>
      <c r="AF1607" s="152" t="s">
        <v>666</v>
      </c>
      <c r="AG1607" s="115" t="s">
        <v>1716</v>
      </c>
      <c r="AH1607" s="159" t="s">
        <v>144</v>
      </c>
      <c r="AI1607" s="115" t="s">
        <v>1256</v>
      </c>
      <c r="AJ1607" s="115" t="s">
        <v>1256</v>
      </c>
      <c r="AK1607" s="115" t="s">
        <v>212</v>
      </c>
      <c r="AO1607" s="115" t="s">
        <v>1270</v>
      </c>
      <c r="AP1607" s="115" t="s">
        <v>1271</v>
      </c>
      <c r="AQ1607" s="115" t="s">
        <v>587</v>
      </c>
      <c r="AR1607" s="115" t="s">
        <v>1269</v>
      </c>
      <c r="AS1607" s="115">
        <v>3</v>
      </c>
      <c r="AT1607" s="115">
        <v>3</v>
      </c>
      <c r="AU1607" s="115" t="s">
        <v>169</v>
      </c>
      <c r="AZ1607" s="115" t="s">
        <v>1273</v>
      </c>
      <c r="BM1607" s="115">
        <f>(1000000/(100*100*0.3*1.69*1000))*30.8</f>
        <v>6.0749506903353065</v>
      </c>
      <c r="BN1607" s="115">
        <f>(1000000/(100*100*0.3*1.69*1000))*36.4</f>
        <v>7.1794871794871797</v>
      </c>
      <c r="BO1607" s="115" t="s">
        <v>1859</v>
      </c>
      <c r="FR1607" s="115" t="s">
        <v>1277</v>
      </c>
      <c r="FT1607" s="115">
        <v>73</v>
      </c>
    </row>
    <row r="1608" spans="1:176" s="115" customFormat="1" x14ac:dyDescent="0.25">
      <c r="A1608" s="115">
        <v>73</v>
      </c>
      <c r="B1608" s="115" t="s">
        <v>1265</v>
      </c>
      <c r="C1608" s="115" t="s">
        <v>1266</v>
      </c>
      <c r="D1608" s="115">
        <v>2003</v>
      </c>
      <c r="E1608" s="115">
        <v>1992</v>
      </c>
      <c r="F1608" s="115" t="s">
        <v>1267</v>
      </c>
      <c r="G1608" s="115" t="s">
        <v>1295</v>
      </c>
      <c r="H1608" s="115">
        <v>50.29</v>
      </c>
      <c r="I1608" s="115">
        <v>-107.8</v>
      </c>
      <c r="J1608" s="115">
        <v>757</v>
      </c>
      <c r="P1608" s="116">
        <v>5</v>
      </c>
      <c r="Q1608" s="116" t="s">
        <v>1264</v>
      </c>
      <c r="R1608" s="116" t="s">
        <v>1272</v>
      </c>
      <c r="S1608" s="116" t="s">
        <v>1591</v>
      </c>
      <c r="T1608" s="116" t="s">
        <v>1565</v>
      </c>
      <c r="U1608" s="116" t="s">
        <v>1593</v>
      </c>
      <c r="V1608" s="116" t="s">
        <v>1908</v>
      </c>
      <c r="W1608" s="115">
        <v>1.69</v>
      </c>
      <c r="Z1608" s="115" t="s">
        <v>167</v>
      </c>
      <c r="AD1608" s="115" t="s">
        <v>1519</v>
      </c>
      <c r="AE1608" s="115" t="s">
        <v>666</v>
      </c>
      <c r="AF1608" s="152" t="s">
        <v>666</v>
      </c>
      <c r="AG1608" s="115" t="s">
        <v>1716</v>
      </c>
      <c r="AH1608" s="159" t="s">
        <v>144</v>
      </c>
      <c r="AI1608" s="115" t="s">
        <v>1256</v>
      </c>
      <c r="AJ1608" s="115" t="s">
        <v>1256</v>
      </c>
      <c r="AK1608" s="115" t="s">
        <v>212</v>
      </c>
      <c r="AO1608" s="115" t="s">
        <v>1270</v>
      </c>
      <c r="AP1608" s="115" t="s">
        <v>1271</v>
      </c>
      <c r="AQ1608" s="115" t="s">
        <v>587</v>
      </c>
      <c r="AR1608" s="115" t="s">
        <v>1269</v>
      </c>
      <c r="AS1608" s="115">
        <v>3</v>
      </c>
      <c r="AT1608" s="115">
        <v>3</v>
      </c>
      <c r="AU1608" s="115" t="s">
        <v>169</v>
      </c>
      <c r="AZ1608" s="115" t="s">
        <v>1273</v>
      </c>
      <c r="BM1608" s="115">
        <f>(1000000/(100*100*0.3*1.69*1000))*12.8</f>
        <v>2.5246548323471405</v>
      </c>
      <c r="BN1608" s="115">
        <f>(1000000/(100*100*0.3*1.69*1000))*38</f>
        <v>7.4950690335305721</v>
      </c>
      <c r="BO1608" s="115" t="s">
        <v>1859</v>
      </c>
      <c r="FR1608" s="115" t="s">
        <v>1277</v>
      </c>
      <c r="FT1608" s="115">
        <v>73</v>
      </c>
    </row>
    <row r="1609" spans="1:176" s="115" customFormat="1" x14ac:dyDescent="0.25">
      <c r="A1609" s="115">
        <v>73</v>
      </c>
      <c r="B1609" s="115" t="s">
        <v>1265</v>
      </c>
      <c r="C1609" s="115" t="s">
        <v>1266</v>
      </c>
      <c r="D1609" s="115">
        <v>2003</v>
      </c>
      <c r="E1609" s="115">
        <v>1993</v>
      </c>
      <c r="F1609" s="115" t="s">
        <v>1267</v>
      </c>
      <c r="G1609" s="115" t="s">
        <v>1295</v>
      </c>
      <c r="H1609" s="115">
        <v>50.29</v>
      </c>
      <c r="I1609" s="115">
        <v>-107.8</v>
      </c>
      <c r="J1609" s="115">
        <v>757</v>
      </c>
      <c r="P1609" s="116">
        <v>6</v>
      </c>
      <c r="Q1609" s="116" t="s">
        <v>1264</v>
      </c>
      <c r="R1609" s="116" t="s">
        <v>1272</v>
      </c>
      <c r="S1609" s="116" t="s">
        <v>1591</v>
      </c>
      <c r="T1609" s="116" t="s">
        <v>1565</v>
      </c>
      <c r="U1609" s="116" t="s">
        <v>1593</v>
      </c>
      <c r="V1609" s="116" t="s">
        <v>1908</v>
      </c>
      <c r="W1609" s="115">
        <v>1.69</v>
      </c>
      <c r="Z1609" s="115" t="s">
        <v>167</v>
      </c>
      <c r="AD1609" s="115" t="s">
        <v>1519</v>
      </c>
      <c r="AE1609" s="115" t="s">
        <v>666</v>
      </c>
      <c r="AF1609" s="152" t="s">
        <v>666</v>
      </c>
      <c r="AG1609" s="115" t="s">
        <v>1716</v>
      </c>
      <c r="AH1609" s="159" t="s">
        <v>144</v>
      </c>
      <c r="AI1609" s="115" t="s">
        <v>1256</v>
      </c>
      <c r="AJ1609" s="115" t="s">
        <v>1256</v>
      </c>
      <c r="AK1609" s="115" t="s">
        <v>212</v>
      </c>
      <c r="AO1609" s="115" t="s">
        <v>1270</v>
      </c>
      <c r="AP1609" s="115" t="s">
        <v>1271</v>
      </c>
      <c r="AQ1609" s="115" t="s">
        <v>587</v>
      </c>
      <c r="AR1609" s="115" t="s">
        <v>1269</v>
      </c>
      <c r="AS1609" s="115">
        <v>3</v>
      </c>
      <c r="AT1609" s="115">
        <v>3</v>
      </c>
      <c r="AU1609" s="115" t="s">
        <v>169</v>
      </c>
      <c r="AZ1609" s="115" t="s">
        <v>1273</v>
      </c>
      <c r="BM1609" s="115">
        <f>(1000000/(100*100*0.3*1.69*1000))*11.7</f>
        <v>2.3076923076923075</v>
      </c>
      <c r="BN1609" s="115">
        <f>(1000000/(100*100*0.3*1.69*1000))*17.6</f>
        <v>3.471400394477318</v>
      </c>
      <c r="BO1609" s="115" t="s">
        <v>1859</v>
      </c>
      <c r="FR1609" s="115" t="s">
        <v>1277</v>
      </c>
      <c r="FT1609" s="115">
        <v>73</v>
      </c>
    </row>
    <row r="1610" spans="1:176" s="115" customFormat="1" x14ac:dyDescent="0.25">
      <c r="A1610" s="115">
        <v>73</v>
      </c>
      <c r="B1610" s="115" t="s">
        <v>1265</v>
      </c>
      <c r="C1610" s="115" t="s">
        <v>1266</v>
      </c>
      <c r="D1610" s="115">
        <v>2003</v>
      </c>
      <c r="E1610" s="115">
        <v>1994</v>
      </c>
      <c r="F1610" s="115" t="s">
        <v>1267</v>
      </c>
      <c r="G1610" s="115" t="s">
        <v>1295</v>
      </c>
      <c r="H1610" s="115">
        <v>50.29</v>
      </c>
      <c r="I1610" s="115">
        <v>-107.8</v>
      </c>
      <c r="J1610" s="115">
        <v>757</v>
      </c>
      <c r="P1610" s="116">
        <v>7</v>
      </c>
      <c r="Q1610" s="116" t="s">
        <v>1264</v>
      </c>
      <c r="R1610" s="116" t="s">
        <v>1272</v>
      </c>
      <c r="S1610" s="116" t="s">
        <v>1591</v>
      </c>
      <c r="T1610" s="116" t="s">
        <v>1565</v>
      </c>
      <c r="U1610" s="116" t="s">
        <v>1593</v>
      </c>
      <c r="V1610" s="116" t="s">
        <v>1908</v>
      </c>
      <c r="W1610" s="115">
        <v>1.69</v>
      </c>
      <c r="Z1610" s="115" t="s">
        <v>167</v>
      </c>
      <c r="AD1610" s="115" t="s">
        <v>1519</v>
      </c>
      <c r="AE1610" s="115" t="s">
        <v>666</v>
      </c>
      <c r="AF1610" s="152" t="s">
        <v>666</v>
      </c>
      <c r="AG1610" s="115" t="s">
        <v>1716</v>
      </c>
      <c r="AH1610" s="159" t="s">
        <v>144</v>
      </c>
      <c r="AI1610" s="115" t="s">
        <v>1256</v>
      </c>
      <c r="AJ1610" s="115" t="s">
        <v>1256</v>
      </c>
      <c r="AK1610" s="115" t="s">
        <v>212</v>
      </c>
      <c r="AO1610" s="115" t="s">
        <v>1270</v>
      </c>
      <c r="AP1610" s="115" t="s">
        <v>1271</v>
      </c>
      <c r="AQ1610" s="115" t="s">
        <v>587</v>
      </c>
      <c r="AR1610" s="115" t="s">
        <v>1269</v>
      </c>
      <c r="AS1610" s="115">
        <v>3</v>
      </c>
      <c r="AT1610" s="115">
        <v>3</v>
      </c>
      <c r="AU1610" s="115" t="s">
        <v>169</v>
      </c>
      <c r="AZ1610" s="115" t="s">
        <v>1273</v>
      </c>
      <c r="BM1610" s="115">
        <f>(1000000/(100*100*0.3*1.69*1000))*8.1</f>
        <v>1.5976331360946745</v>
      </c>
      <c r="BN1610" s="115">
        <f>(1000000/(100*100*0.3*1.69*1000))*14.1</f>
        <v>2.7810650887573964</v>
      </c>
      <c r="BO1610" s="115" t="s">
        <v>1859</v>
      </c>
      <c r="FR1610" s="115" t="s">
        <v>1277</v>
      </c>
      <c r="FT1610" s="115">
        <v>73</v>
      </c>
    </row>
    <row r="1611" spans="1:176" s="115" customFormat="1" x14ac:dyDescent="0.25">
      <c r="A1611" s="115">
        <v>73</v>
      </c>
      <c r="B1611" s="115" t="s">
        <v>1265</v>
      </c>
      <c r="C1611" s="115" t="s">
        <v>1266</v>
      </c>
      <c r="D1611" s="115">
        <v>2003</v>
      </c>
      <c r="E1611" s="115">
        <v>1995</v>
      </c>
      <c r="F1611" s="115" t="s">
        <v>1267</v>
      </c>
      <c r="G1611" s="115" t="s">
        <v>1295</v>
      </c>
      <c r="H1611" s="115">
        <v>50.29</v>
      </c>
      <c r="I1611" s="115">
        <v>-107.8</v>
      </c>
      <c r="J1611" s="115">
        <v>757</v>
      </c>
      <c r="P1611" s="116">
        <v>8</v>
      </c>
      <c r="Q1611" s="116" t="s">
        <v>1264</v>
      </c>
      <c r="R1611" s="116" t="s">
        <v>1272</v>
      </c>
      <c r="S1611" s="116" t="s">
        <v>1591</v>
      </c>
      <c r="T1611" s="116" t="s">
        <v>1565</v>
      </c>
      <c r="U1611" s="116" t="s">
        <v>1593</v>
      </c>
      <c r="V1611" s="116" t="s">
        <v>1908</v>
      </c>
      <c r="W1611" s="115">
        <v>1.69</v>
      </c>
      <c r="Z1611" s="115" t="s">
        <v>167</v>
      </c>
      <c r="AD1611" s="115" t="s">
        <v>1519</v>
      </c>
      <c r="AE1611" s="115" t="s">
        <v>666</v>
      </c>
      <c r="AF1611" s="152" t="s">
        <v>666</v>
      </c>
      <c r="AG1611" s="115" t="s">
        <v>1716</v>
      </c>
      <c r="AH1611" s="159" t="s">
        <v>144</v>
      </c>
      <c r="AI1611" s="115" t="s">
        <v>1256</v>
      </c>
      <c r="AJ1611" s="115" t="s">
        <v>1256</v>
      </c>
      <c r="AK1611" s="115" t="s">
        <v>212</v>
      </c>
      <c r="AO1611" s="115" t="s">
        <v>1270</v>
      </c>
      <c r="AP1611" s="115" t="s">
        <v>1271</v>
      </c>
      <c r="AQ1611" s="115" t="s">
        <v>587</v>
      </c>
      <c r="AR1611" s="115" t="s">
        <v>1269</v>
      </c>
      <c r="AS1611" s="115">
        <v>3</v>
      </c>
      <c r="AT1611" s="115">
        <v>3</v>
      </c>
      <c r="AU1611" s="115" t="s">
        <v>169</v>
      </c>
      <c r="AZ1611" s="115" t="s">
        <v>1273</v>
      </c>
      <c r="BM1611" s="115">
        <f>(1000000/(100*100*0.3*1.69*1000))*4.6</f>
        <v>0.90729783037475342</v>
      </c>
      <c r="BN1611" s="115">
        <f>(1000000/(100*100*0.3*1.69*1000))*11.2</f>
        <v>2.2090729783037473</v>
      </c>
      <c r="BO1611" s="115" t="s">
        <v>1859</v>
      </c>
      <c r="FR1611" s="115" t="s">
        <v>1277</v>
      </c>
      <c r="FT1611" s="115">
        <v>73</v>
      </c>
    </row>
    <row r="1612" spans="1:176" s="115" customFormat="1" x14ac:dyDescent="0.25">
      <c r="A1612" s="115">
        <v>73</v>
      </c>
      <c r="B1612" s="115" t="s">
        <v>1265</v>
      </c>
      <c r="C1612" s="115" t="s">
        <v>1266</v>
      </c>
      <c r="D1612" s="115">
        <v>2003</v>
      </c>
      <c r="E1612" s="115">
        <v>1996</v>
      </c>
      <c r="F1612" s="115" t="s">
        <v>1267</v>
      </c>
      <c r="G1612" s="115" t="s">
        <v>1295</v>
      </c>
      <c r="H1612" s="115">
        <v>50.29</v>
      </c>
      <c r="I1612" s="115">
        <v>-107.8</v>
      </c>
      <c r="J1612" s="115">
        <v>757</v>
      </c>
      <c r="P1612" s="116">
        <v>9</v>
      </c>
      <c r="Q1612" s="116" t="s">
        <v>1264</v>
      </c>
      <c r="R1612" s="116" t="s">
        <v>1272</v>
      </c>
      <c r="S1612" s="116" t="s">
        <v>1591</v>
      </c>
      <c r="T1612" s="116" t="s">
        <v>1565</v>
      </c>
      <c r="U1612" s="116" t="s">
        <v>1593</v>
      </c>
      <c r="V1612" s="116" t="s">
        <v>1908</v>
      </c>
      <c r="W1612" s="115">
        <v>1.69</v>
      </c>
      <c r="Z1612" s="115" t="s">
        <v>167</v>
      </c>
      <c r="AD1612" s="115" t="s">
        <v>1519</v>
      </c>
      <c r="AE1612" s="115" t="s">
        <v>666</v>
      </c>
      <c r="AF1612" s="152" t="s">
        <v>666</v>
      </c>
      <c r="AG1612" s="115" t="s">
        <v>1716</v>
      </c>
      <c r="AH1612" s="159" t="s">
        <v>144</v>
      </c>
      <c r="AI1612" s="115" t="s">
        <v>1256</v>
      </c>
      <c r="AJ1612" s="115" t="s">
        <v>1256</v>
      </c>
      <c r="AK1612" s="115" t="s">
        <v>212</v>
      </c>
      <c r="AO1612" s="115" t="s">
        <v>1270</v>
      </c>
      <c r="AP1612" s="115" t="s">
        <v>1271</v>
      </c>
      <c r="AQ1612" s="115" t="s">
        <v>587</v>
      </c>
      <c r="AR1612" s="115" t="s">
        <v>1269</v>
      </c>
      <c r="AS1612" s="115">
        <v>3</v>
      </c>
      <c r="AT1612" s="115">
        <v>3</v>
      </c>
      <c r="AU1612" s="115" t="s">
        <v>169</v>
      </c>
      <c r="AZ1612" s="115" t="s">
        <v>1273</v>
      </c>
      <c r="BM1612" s="115">
        <f>(1000000/(100*100*0.3*1.69*1000))*7.7</f>
        <v>1.5187376725838266</v>
      </c>
      <c r="BN1612" s="115">
        <f>(1000000/(100*100*0.3*1.69*1000))*17</f>
        <v>3.3530571992110456</v>
      </c>
      <c r="BO1612" s="115" t="s">
        <v>1859</v>
      </c>
      <c r="FR1612" s="115" t="s">
        <v>1277</v>
      </c>
      <c r="FT1612" s="115">
        <v>73</v>
      </c>
    </row>
    <row r="1613" spans="1:176" s="115" customFormat="1" x14ac:dyDescent="0.25">
      <c r="A1613" s="115">
        <v>73</v>
      </c>
      <c r="B1613" s="115" t="s">
        <v>1265</v>
      </c>
      <c r="C1613" s="115" t="s">
        <v>1266</v>
      </c>
      <c r="D1613" s="115">
        <v>2003</v>
      </c>
      <c r="E1613" s="115">
        <v>1997</v>
      </c>
      <c r="F1613" s="115" t="s">
        <v>1267</v>
      </c>
      <c r="G1613" s="115" t="s">
        <v>1295</v>
      </c>
      <c r="H1613" s="115">
        <v>50.29</v>
      </c>
      <c r="I1613" s="115">
        <v>-107.8</v>
      </c>
      <c r="J1613" s="115">
        <v>757</v>
      </c>
      <c r="P1613" s="116">
        <v>10</v>
      </c>
      <c r="Q1613" s="116" t="s">
        <v>1264</v>
      </c>
      <c r="R1613" s="116" t="s">
        <v>1272</v>
      </c>
      <c r="S1613" s="116" t="s">
        <v>1591</v>
      </c>
      <c r="T1613" s="116" t="s">
        <v>1565</v>
      </c>
      <c r="U1613" s="116" t="s">
        <v>1593</v>
      </c>
      <c r="V1613" s="116" t="s">
        <v>1908</v>
      </c>
      <c r="W1613" s="115">
        <v>1.69</v>
      </c>
      <c r="Z1613" s="115" t="s">
        <v>167</v>
      </c>
      <c r="AD1613" s="115" t="s">
        <v>1519</v>
      </c>
      <c r="AE1613" s="115" t="s">
        <v>666</v>
      </c>
      <c r="AF1613" s="152" t="s">
        <v>666</v>
      </c>
      <c r="AG1613" s="115" t="s">
        <v>1716</v>
      </c>
      <c r="AH1613" s="159" t="s">
        <v>144</v>
      </c>
      <c r="AI1613" s="115" t="s">
        <v>1256</v>
      </c>
      <c r="AJ1613" s="115" t="s">
        <v>1256</v>
      </c>
      <c r="AK1613" s="115" t="s">
        <v>212</v>
      </c>
      <c r="AO1613" s="115" t="s">
        <v>1270</v>
      </c>
      <c r="AP1613" s="115" t="s">
        <v>1271</v>
      </c>
      <c r="AQ1613" s="115" t="s">
        <v>587</v>
      </c>
      <c r="AR1613" s="115" t="s">
        <v>1269</v>
      </c>
      <c r="AS1613" s="115">
        <v>3</v>
      </c>
      <c r="AT1613" s="115">
        <v>3</v>
      </c>
      <c r="AU1613" s="115" t="s">
        <v>169</v>
      </c>
      <c r="AZ1613" s="115" t="s">
        <v>1273</v>
      </c>
      <c r="BM1613" s="115">
        <f>(1000000/(100*100*0.3*1.69*1000))*7.5</f>
        <v>1.4792899408284024</v>
      </c>
      <c r="BN1613" s="115">
        <f>(1000000/(100*100*0.3*1.69*1000))*18.5</f>
        <v>3.6489151873767258</v>
      </c>
      <c r="BO1613" s="115" t="s">
        <v>1859</v>
      </c>
      <c r="FR1613" s="115" t="s">
        <v>1277</v>
      </c>
      <c r="FT1613" s="115">
        <v>73</v>
      </c>
    </row>
    <row r="1614" spans="1:176" s="115" customFormat="1" x14ac:dyDescent="0.25">
      <c r="A1614" s="115">
        <v>73</v>
      </c>
      <c r="B1614" s="115" t="s">
        <v>1265</v>
      </c>
      <c r="C1614" s="115" t="s">
        <v>1266</v>
      </c>
      <c r="D1614" s="115">
        <v>2003</v>
      </c>
      <c r="E1614" s="115">
        <v>1998</v>
      </c>
      <c r="F1614" s="115" t="s">
        <v>1267</v>
      </c>
      <c r="G1614" s="115" t="s">
        <v>1295</v>
      </c>
      <c r="H1614" s="115">
        <v>50.29</v>
      </c>
      <c r="I1614" s="115">
        <v>-107.8</v>
      </c>
      <c r="J1614" s="115">
        <v>757</v>
      </c>
      <c r="P1614" s="116">
        <v>11</v>
      </c>
      <c r="Q1614" s="116" t="s">
        <v>1264</v>
      </c>
      <c r="R1614" s="116" t="s">
        <v>1272</v>
      </c>
      <c r="S1614" s="116" t="s">
        <v>1591</v>
      </c>
      <c r="T1614" s="116" t="s">
        <v>1565</v>
      </c>
      <c r="U1614" s="116" t="s">
        <v>1593</v>
      </c>
      <c r="V1614" s="116" t="s">
        <v>1908</v>
      </c>
      <c r="W1614" s="115">
        <v>1.69</v>
      </c>
      <c r="Z1614" s="115" t="s">
        <v>167</v>
      </c>
      <c r="AD1614" s="115" t="s">
        <v>1519</v>
      </c>
      <c r="AE1614" s="115" t="s">
        <v>666</v>
      </c>
      <c r="AF1614" s="152" t="s">
        <v>666</v>
      </c>
      <c r="AG1614" s="115" t="s">
        <v>1716</v>
      </c>
      <c r="AH1614" s="159" t="s">
        <v>144</v>
      </c>
      <c r="AI1614" s="115" t="s">
        <v>1256</v>
      </c>
      <c r="AJ1614" s="115" t="s">
        <v>1256</v>
      </c>
      <c r="AK1614" s="115" t="s">
        <v>212</v>
      </c>
      <c r="AO1614" s="115" t="s">
        <v>1270</v>
      </c>
      <c r="AP1614" s="115" t="s">
        <v>1271</v>
      </c>
      <c r="AQ1614" s="115" t="s">
        <v>587</v>
      </c>
      <c r="AR1614" s="115" t="s">
        <v>1269</v>
      </c>
      <c r="AS1614" s="115">
        <v>3</v>
      </c>
      <c r="AT1614" s="115">
        <v>3</v>
      </c>
      <c r="AU1614" s="115" t="s">
        <v>169</v>
      </c>
      <c r="AZ1614" s="115" t="s">
        <v>1273</v>
      </c>
      <c r="BM1614" s="115">
        <f>(1000000/(100*100*0.3*1.69*1000))*16.4</f>
        <v>3.2347140039447728</v>
      </c>
      <c r="BN1614" s="115">
        <f>(1000000/(100*100*0.3*1.69*1000))*41</f>
        <v>8.0867850098619325</v>
      </c>
      <c r="BO1614" s="115" t="s">
        <v>1859</v>
      </c>
      <c r="FR1614" s="115" t="s">
        <v>1277</v>
      </c>
      <c r="FT1614" s="115">
        <v>73</v>
      </c>
    </row>
    <row r="1615" spans="1:176" s="115" customFormat="1" x14ac:dyDescent="0.25">
      <c r="A1615" s="115">
        <v>73</v>
      </c>
      <c r="B1615" s="115" t="s">
        <v>1265</v>
      </c>
      <c r="C1615" s="115" t="s">
        <v>1266</v>
      </c>
      <c r="D1615" s="115">
        <v>2003</v>
      </c>
      <c r="E1615" s="115">
        <v>1999</v>
      </c>
      <c r="F1615" s="115" t="s">
        <v>1267</v>
      </c>
      <c r="G1615" s="115" t="s">
        <v>1295</v>
      </c>
      <c r="H1615" s="115">
        <v>50.29</v>
      </c>
      <c r="I1615" s="115">
        <v>-107.8</v>
      </c>
      <c r="J1615" s="115">
        <v>757</v>
      </c>
      <c r="P1615" s="116">
        <v>12</v>
      </c>
      <c r="Q1615" s="116" t="s">
        <v>1264</v>
      </c>
      <c r="R1615" s="116" t="s">
        <v>1272</v>
      </c>
      <c r="S1615" s="116" t="s">
        <v>1591</v>
      </c>
      <c r="T1615" s="116" t="s">
        <v>1565</v>
      </c>
      <c r="U1615" s="116" t="s">
        <v>1593</v>
      </c>
      <c r="V1615" s="116" t="s">
        <v>1908</v>
      </c>
      <c r="W1615" s="115">
        <v>1.69</v>
      </c>
      <c r="Z1615" s="115" t="s">
        <v>167</v>
      </c>
      <c r="AD1615" s="115" t="s">
        <v>1519</v>
      </c>
      <c r="AE1615" s="115" t="s">
        <v>666</v>
      </c>
      <c r="AF1615" s="152" t="s">
        <v>666</v>
      </c>
      <c r="AG1615" s="115" t="s">
        <v>1716</v>
      </c>
      <c r="AH1615" s="159" t="s">
        <v>144</v>
      </c>
      <c r="AI1615" s="115" t="s">
        <v>1256</v>
      </c>
      <c r="AJ1615" s="115" t="s">
        <v>1256</v>
      </c>
      <c r="AK1615" s="115" t="s">
        <v>212</v>
      </c>
      <c r="AO1615" s="115" t="s">
        <v>1270</v>
      </c>
      <c r="AP1615" s="115" t="s">
        <v>1271</v>
      </c>
      <c r="AQ1615" s="115" t="s">
        <v>587</v>
      </c>
      <c r="AR1615" s="115" t="s">
        <v>1269</v>
      </c>
      <c r="AS1615" s="115">
        <v>3</v>
      </c>
      <c r="AT1615" s="115">
        <v>3</v>
      </c>
      <c r="AU1615" s="115" t="s">
        <v>169</v>
      </c>
      <c r="AZ1615" s="115" t="s">
        <v>1273</v>
      </c>
      <c r="BM1615" s="115">
        <f>(1000000/(100*100*0.3*1.69*1000))*9.9</f>
        <v>1.9526627218934913</v>
      </c>
      <c r="BN1615" s="115">
        <f>(1000000/(100*100*0.3*1.69*1000))*28.9</f>
        <v>5.7001972386587774</v>
      </c>
      <c r="BO1615" s="115" t="s">
        <v>1859</v>
      </c>
      <c r="FR1615" s="115" t="s">
        <v>1277</v>
      </c>
      <c r="FT1615" s="115">
        <v>73</v>
      </c>
    </row>
    <row r="1616" spans="1:176" s="38" customFormat="1" x14ac:dyDescent="0.25">
      <c r="A1616" s="38">
        <v>74</v>
      </c>
      <c r="B1616" s="38" t="s">
        <v>1283</v>
      </c>
      <c r="C1616" s="38" t="s">
        <v>1284</v>
      </c>
      <c r="D1616" s="38">
        <v>2013</v>
      </c>
      <c r="E1616" s="38">
        <v>2011</v>
      </c>
      <c r="F1616" s="38" t="s">
        <v>1285</v>
      </c>
      <c r="G1616" s="38" t="s">
        <v>1286</v>
      </c>
      <c r="H1616" s="38">
        <v>32.24</v>
      </c>
      <c r="I1616" s="38">
        <v>-98.2</v>
      </c>
      <c r="J1616" s="38">
        <v>390.7</v>
      </c>
      <c r="P1616" s="57">
        <v>1</v>
      </c>
      <c r="Q1616" s="57"/>
      <c r="R1616" s="57"/>
      <c r="S1616" s="57" t="s">
        <v>1553</v>
      </c>
      <c r="T1616" s="57" t="s">
        <v>1553</v>
      </c>
      <c r="U1616" s="57" t="s">
        <v>1553</v>
      </c>
      <c r="V1616" s="57" t="s">
        <v>1553</v>
      </c>
      <c r="X1616" s="38">
        <v>3</v>
      </c>
      <c r="Y1616" s="38">
        <v>32</v>
      </c>
      <c r="Z1616" s="38" t="s">
        <v>500</v>
      </c>
      <c r="AD1616" s="38" t="s">
        <v>1520</v>
      </c>
      <c r="AE1616" s="38" t="s">
        <v>1288</v>
      </c>
      <c r="AF1616" s="152" t="s">
        <v>1288</v>
      </c>
      <c r="AG1616" s="38" t="s">
        <v>1287</v>
      </c>
      <c r="AH1616" s="155" t="s">
        <v>1797</v>
      </c>
      <c r="AI1616" s="38" t="s">
        <v>147</v>
      </c>
      <c r="AS1616" s="38">
        <v>4</v>
      </c>
      <c r="AT1616" s="38">
        <v>4</v>
      </c>
      <c r="AU1616" s="38" t="s">
        <v>379</v>
      </c>
      <c r="AZ1616" s="38" t="s">
        <v>1290</v>
      </c>
      <c r="DR1616" s="38">
        <v>4.3</v>
      </c>
      <c r="DS1616" s="38">
        <v>3.3</v>
      </c>
      <c r="DT1616" s="38" t="s">
        <v>1289</v>
      </c>
      <c r="FT1616" s="38">
        <v>74</v>
      </c>
    </row>
    <row r="1617" spans="1:176" s="38" customFormat="1" x14ac:dyDescent="0.25">
      <c r="A1617" s="38">
        <v>74</v>
      </c>
      <c r="B1617" s="38" t="s">
        <v>1283</v>
      </c>
      <c r="C1617" s="38" t="s">
        <v>1284</v>
      </c>
      <c r="D1617" s="38">
        <v>2013</v>
      </c>
      <c r="E1617" s="38">
        <v>2011</v>
      </c>
      <c r="F1617" s="38" t="s">
        <v>1285</v>
      </c>
      <c r="G1617" s="38" t="s">
        <v>1286</v>
      </c>
      <c r="H1617" s="38">
        <v>32.24</v>
      </c>
      <c r="I1617" s="38">
        <v>-98.2</v>
      </c>
      <c r="J1617" s="38">
        <v>390.7</v>
      </c>
      <c r="P1617" s="57">
        <v>1</v>
      </c>
      <c r="Q1617" s="57"/>
      <c r="R1617" s="57"/>
      <c r="S1617" s="57" t="s">
        <v>1553</v>
      </c>
      <c r="T1617" s="57" t="s">
        <v>1553</v>
      </c>
      <c r="U1617" s="57" t="s">
        <v>1553</v>
      </c>
      <c r="V1617" s="57" t="s">
        <v>1553</v>
      </c>
      <c r="X1617" s="38">
        <v>3</v>
      </c>
      <c r="Y1617" s="38">
        <v>32</v>
      </c>
      <c r="Z1617" s="38" t="s">
        <v>500</v>
      </c>
      <c r="AD1617" s="38" t="s">
        <v>1520</v>
      </c>
      <c r="AE1617" s="38" t="s">
        <v>1288</v>
      </c>
      <c r="AF1617" s="152" t="s">
        <v>1288</v>
      </c>
      <c r="AG1617" s="38" t="s">
        <v>1287</v>
      </c>
      <c r="AH1617" s="155" t="s">
        <v>1797</v>
      </c>
      <c r="AI1617" s="38" t="s">
        <v>147</v>
      </c>
      <c r="AS1617" s="38">
        <v>4</v>
      </c>
      <c r="AT1617" s="38">
        <v>4</v>
      </c>
      <c r="AU1617" s="38" t="s">
        <v>379</v>
      </c>
      <c r="AZ1617" s="38" t="s">
        <v>1291</v>
      </c>
      <c r="DR1617" s="38">
        <v>3</v>
      </c>
      <c r="DS1617" s="38">
        <v>2.5</v>
      </c>
      <c r="DT1617" s="38" t="s">
        <v>1289</v>
      </c>
      <c r="FT1617" s="38">
        <v>74</v>
      </c>
    </row>
    <row r="1618" spans="1:176" s="38" customFormat="1" x14ac:dyDescent="0.25">
      <c r="A1618" s="38">
        <v>74</v>
      </c>
      <c r="B1618" s="38" t="s">
        <v>1283</v>
      </c>
      <c r="C1618" s="38" t="s">
        <v>1284</v>
      </c>
      <c r="D1618" s="38">
        <v>2013</v>
      </c>
      <c r="E1618" s="38">
        <v>2011</v>
      </c>
      <c r="F1618" s="38" t="s">
        <v>1285</v>
      </c>
      <c r="G1618" s="38" t="s">
        <v>1286</v>
      </c>
      <c r="H1618" s="38">
        <v>32.24</v>
      </c>
      <c r="I1618" s="38">
        <v>-98.2</v>
      </c>
      <c r="J1618" s="38">
        <v>390.7</v>
      </c>
      <c r="P1618" s="57">
        <v>1</v>
      </c>
      <c r="Q1618" s="57"/>
      <c r="R1618" s="57"/>
      <c r="S1618" s="57" t="s">
        <v>1553</v>
      </c>
      <c r="T1618" s="57" t="s">
        <v>1553</v>
      </c>
      <c r="U1618" s="57" t="s">
        <v>1553</v>
      </c>
      <c r="V1618" s="57" t="s">
        <v>1553</v>
      </c>
      <c r="X1618" s="38">
        <v>3</v>
      </c>
      <c r="Y1618" s="38">
        <v>32</v>
      </c>
      <c r="Z1618" s="38" t="s">
        <v>500</v>
      </c>
      <c r="AD1618" s="38" t="s">
        <v>1520</v>
      </c>
      <c r="AE1618" s="38" t="s">
        <v>1288</v>
      </c>
      <c r="AF1618" s="152" t="s">
        <v>1288</v>
      </c>
      <c r="AG1618" s="38" t="s">
        <v>1287</v>
      </c>
      <c r="AH1618" s="155" t="s">
        <v>1797</v>
      </c>
      <c r="AI1618" s="38" t="s">
        <v>147</v>
      </c>
      <c r="AS1618" s="38">
        <v>4</v>
      </c>
      <c r="AT1618" s="38">
        <v>4</v>
      </c>
      <c r="AU1618" s="38" t="s">
        <v>379</v>
      </c>
      <c r="AZ1618" s="38" t="s">
        <v>1292</v>
      </c>
      <c r="DR1618" s="38">
        <v>1.3</v>
      </c>
      <c r="DS1618" s="38">
        <v>0.3</v>
      </c>
      <c r="DT1618" s="38" t="s">
        <v>1289</v>
      </c>
      <c r="FT1618" s="38">
        <v>74</v>
      </c>
    </row>
    <row r="1619" spans="1:176" s="38" customFormat="1" x14ac:dyDescent="0.25">
      <c r="A1619" s="38">
        <v>74</v>
      </c>
      <c r="B1619" s="38" t="s">
        <v>1283</v>
      </c>
      <c r="C1619" s="38" t="s">
        <v>1284</v>
      </c>
      <c r="D1619" s="38">
        <v>2013</v>
      </c>
      <c r="E1619" s="38">
        <v>2011</v>
      </c>
      <c r="F1619" s="38" t="s">
        <v>1285</v>
      </c>
      <c r="G1619" s="38" t="s">
        <v>1286</v>
      </c>
      <c r="H1619" s="38">
        <v>32.24</v>
      </c>
      <c r="I1619" s="38">
        <v>-98.2</v>
      </c>
      <c r="J1619" s="38">
        <v>390.7</v>
      </c>
      <c r="P1619" s="57">
        <v>1</v>
      </c>
      <c r="Q1619" s="57"/>
      <c r="R1619" s="57"/>
      <c r="S1619" s="57" t="s">
        <v>1553</v>
      </c>
      <c r="T1619" s="57" t="s">
        <v>1553</v>
      </c>
      <c r="U1619" s="57" t="s">
        <v>1553</v>
      </c>
      <c r="V1619" s="57" t="s">
        <v>1553</v>
      </c>
      <c r="X1619" s="38">
        <v>3</v>
      </c>
      <c r="Y1619" s="38">
        <v>32</v>
      </c>
      <c r="Z1619" s="38" t="s">
        <v>500</v>
      </c>
      <c r="AD1619" s="38" t="s">
        <v>1520</v>
      </c>
      <c r="AE1619" s="38" t="s">
        <v>1288</v>
      </c>
      <c r="AF1619" s="152" t="s">
        <v>1288</v>
      </c>
      <c r="AG1619" s="38" t="s">
        <v>1287</v>
      </c>
      <c r="AH1619" s="155" t="s">
        <v>1797</v>
      </c>
      <c r="AI1619" s="38" t="s">
        <v>147</v>
      </c>
      <c r="AS1619" s="38">
        <v>4</v>
      </c>
      <c r="AT1619" s="38">
        <v>4</v>
      </c>
      <c r="AU1619" s="38" t="s">
        <v>379</v>
      </c>
      <c r="AZ1619" s="38" t="s">
        <v>1293</v>
      </c>
      <c r="DR1619" s="38">
        <v>0.3</v>
      </c>
      <c r="DS1619" s="38">
        <v>0</v>
      </c>
      <c r="DT1619" s="38" t="s">
        <v>1289</v>
      </c>
      <c r="FT1619" s="38">
        <v>74</v>
      </c>
    </row>
    <row r="1620" spans="1:176" s="38" customFormat="1" x14ac:dyDescent="0.25">
      <c r="A1620" s="38">
        <v>74</v>
      </c>
      <c r="B1620" s="38" t="s">
        <v>1283</v>
      </c>
      <c r="C1620" s="38" t="s">
        <v>1284</v>
      </c>
      <c r="D1620" s="38">
        <v>2013</v>
      </c>
      <c r="E1620" s="38">
        <v>2011</v>
      </c>
      <c r="F1620" s="38" t="s">
        <v>1285</v>
      </c>
      <c r="G1620" s="38" t="s">
        <v>1286</v>
      </c>
      <c r="H1620" s="38">
        <v>32.24</v>
      </c>
      <c r="I1620" s="38">
        <v>-98.2</v>
      </c>
      <c r="J1620" s="38">
        <v>390.7</v>
      </c>
      <c r="P1620" s="57">
        <v>1</v>
      </c>
      <c r="Q1620" s="57"/>
      <c r="R1620" s="57"/>
      <c r="S1620" s="57" t="s">
        <v>1553</v>
      </c>
      <c r="T1620" s="57" t="s">
        <v>1553</v>
      </c>
      <c r="U1620" s="57" t="s">
        <v>1553</v>
      </c>
      <c r="V1620" s="57" t="s">
        <v>1553</v>
      </c>
      <c r="X1620" s="38">
        <v>3</v>
      </c>
      <c r="Y1620" s="38">
        <v>32</v>
      </c>
      <c r="Z1620" s="38" t="s">
        <v>500</v>
      </c>
      <c r="AD1620" s="38" t="s">
        <v>1520</v>
      </c>
      <c r="AE1620" s="38" t="s">
        <v>1288</v>
      </c>
      <c r="AF1620" s="152" t="s">
        <v>1288</v>
      </c>
      <c r="AG1620" s="38" t="s">
        <v>1287</v>
      </c>
      <c r="AH1620" s="155" t="s">
        <v>1797</v>
      </c>
      <c r="AI1620" s="38" t="s">
        <v>147</v>
      </c>
      <c r="AS1620" s="38">
        <v>4</v>
      </c>
      <c r="AT1620" s="38">
        <v>4</v>
      </c>
      <c r="AU1620" s="38" t="s">
        <v>379</v>
      </c>
      <c r="AZ1620" s="38" t="s">
        <v>1294</v>
      </c>
      <c r="DR1620" s="38">
        <v>2.2999999999999998</v>
      </c>
      <c r="DS1620" s="38">
        <v>1</v>
      </c>
      <c r="DT1620" s="38" t="s">
        <v>1289</v>
      </c>
      <c r="FT1620" s="38">
        <v>74</v>
      </c>
    </row>
    <row r="1621" spans="1:176" s="26" customFormat="1" x14ac:dyDescent="0.25">
      <c r="A1621" s="26">
        <v>75</v>
      </c>
      <c r="B1621" s="26" t="s">
        <v>1296</v>
      </c>
      <c r="C1621" s="26" t="s">
        <v>1297</v>
      </c>
      <c r="D1621" s="26">
        <v>1989</v>
      </c>
      <c r="E1621" s="26">
        <v>1985</v>
      </c>
      <c r="F1621" s="26" t="s">
        <v>498</v>
      </c>
      <c r="G1621" s="26" t="s">
        <v>1298</v>
      </c>
      <c r="H1621" s="26">
        <v>38.950000000000003</v>
      </c>
      <c r="I1621" s="26">
        <v>-91.94</v>
      </c>
      <c r="J1621" s="26">
        <v>251.9</v>
      </c>
      <c r="P1621" s="52">
        <v>1</v>
      </c>
      <c r="Q1621" s="52"/>
      <c r="R1621" s="52" t="s">
        <v>1303</v>
      </c>
      <c r="S1621" s="52" t="s">
        <v>1553</v>
      </c>
      <c r="T1621" s="52" t="s">
        <v>1553</v>
      </c>
      <c r="U1621" s="52" t="s">
        <v>1553</v>
      </c>
      <c r="V1621" s="52" t="s">
        <v>1553</v>
      </c>
      <c r="Z1621" s="26" t="s">
        <v>531</v>
      </c>
      <c r="AD1621" s="26" t="s">
        <v>1521</v>
      </c>
      <c r="AE1621" s="26" t="s">
        <v>1721</v>
      </c>
      <c r="AF1621" s="152" t="s">
        <v>1764</v>
      </c>
      <c r="AG1621" s="26" t="s">
        <v>190</v>
      </c>
      <c r="AH1621" s="154" t="s">
        <v>190</v>
      </c>
      <c r="AI1621" s="26" t="s">
        <v>147</v>
      </c>
      <c r="AO1621" s="26" t="s">
        <v>1304</v>
      </c>
      <c r="AP1621" s="26" t="s">
        <v>1304</v>
      </c>
      <c r="AQ1621" s="26" t="s">
        <v>212</v>
      </c>
      <c r="AS1621" s="26">
        <v>2</v>
      </c>
      <c r="AT1621" s="26">
        <v>2</v>
      </c>
      <c r="AU1621" s="26" t="s">
        <v>169</v>
      </c>
      <c r="CW1621" s="26">
        <v>336</v>
      </c>
      <c r="CX1621" s="26">
        <v>0</v>
      </c>
      <c r="CY1621" s="26" t="s">
        <v>1306</v>
      </c>
      <c r="CZ1621" s="26">
        <v>4</v>
      </c>
      <c r="DA1621" s="26">
        <v>0</v>
      </c>
      <c r="DB1621" s="26" t="s">
        <v>1305</v>
      </c>
      <c r="FT1621" s="26">
        <v>75</v>
      </c>
    </row>
    <row r="1622" spans="1:176" s="26" customFormat="1" x14ac:dyDescent="0.25">
      <c r="A1622" s="26">
        <v>75</v>
      </c>
      <c r="B1622" s="26" t="s">
        <v>1296</v>
      </c>
      <c r="C1622" s="26" t="s">
        <v>1297</v>
      </c>
      <c r="D1622" s="26">
        <v>1989</v>
      </c>
      <c r="E1622" s="26">
        <v>1985</v>
      </c>
      <c r="F1622" s="26" t="s">
        <v>498</v>
      </c>
      <c r="G1622" s="26" t="s">
        <v>1298</v>
      </c>
      <c r="H1622" s="26">
        <v>38.950000000000003</v>
      </c>
      <c r="I1622" s="26">
        <v>-91.94</v>
      </c>
      <c r="J1622" s="26">
        <v>251.9</v>
      </c>
      <c r="P1622" s="52">
        <v>1</v>
      </c>
      <c r="Q1622" s="52"/>
      <c r="R1622" s="52" t="s">
        <v>1299</v>
      </c>
      <c r="S1622" s="52" t="s">
        <v>1553</v>
      </c>
      <c r="T1622" s="52" t="s">
        <v>1553</v>
      </c>
      <c r="U1622" s="52" t="s">
        <v>1553</v>
      </c>
      <c r="V1622" s="52" t="s">
        <v>1553</v>
      </c>
      <c r="Z1622" s="26" t="s">
        <v>531</v>
      </c>
      <c r="AD1622" s="26" t="s">
        <v>1521</v>
      </c>
      <c r="AE1622" s="26" t="s">
        <v>1721</v>
      </c>
      <c r="AF1622" s="152" t="s">
        <v>1764</v>
      </c>
      <c r="AG1622" s="26" t="s">
        <v>190</v>
      </c>
      <c r="AH1622" s="154" t="s">
        <v>190</v>
      </c>
      <c r="AI1622" s="26" t="s">
        <v>147</v>
      </c>
      <c r="AO1622" s="26" t="s">
        <v>1304</v>
      </c>
      <c r="AP1622" s="26" t="s">
        <v>1304</v>
      </c>
      <c r="AQ1622" s="26" t="s">
        <v>212</v>
      </c>
      <c r="AS1622" s="26">
        <v>2</v>
      </c>
      <c r="AT1622" s="26">
        <v>2</v>
      </c>
      <c r="AU1622" s="26" t="s">
        <v>169</v>
      </c>
      <c r="CW1622" s="26">
        <v>1984</v>
      </c>
      <c r="CX1622" s="26">
        <v>381</v>
      </c>
      <c r="CY1622" s="26" t="s">
        <v>1306</v>
      </c>
      <c r="CZ1622" s="26">
        <v>53</v>
      </c>
      <c r="DA1622" s="26">
        <v>31</v>
      </c>
      <c r="DB1622" s="26" t="s">
        <v>1305</v>
      </c>
      <c r="FT1622" s="26">
        <v>75</v>
      </c>
    </row>
    <row r="1623" spans="1:176" s="26" customFormat="1" x14ac:dyDescent="0.25">
      <c r="A1623" s="26">
        <v>75</v>
      </c>
      <c r="B1623" s="26" t="s">
        <v>1296</v>
      </c>
      <c r="C1623" s="26" t="s">
        <v>1297</v>
      </c>
      <c r="D1623" s="26">
        <v>1989</v>
      </c>
      <c r="E1623" s="26">
        <v>1985</v>
      </c>
      <c r="F1623" s="26" t="s">
        <v>498</v>
      </c>
      <c r="G1623" s="26" t="s">
        <v>1298</v>
      </c>
      <c r="H1623" s="26">
        <v>38.950000000000003</v>
      </c>
      <c r="I1623" s="26">
        <v>-91.94</v>
      </c>
      <c r="J1623" s="26">
        <v>251.9</v>
      </c>
      <c r="P1623" s="52">
        <v>1</v>
      </c>
      <c r="Q1623" s="52"/>
      <c r="R1623" s="52" t="s">
        <v>1300</v>
      </c>
      <c r="S1623" s="52" t="s">
        <v>1553</v>
      </c>
      <c r="T1623" s="52" t="s">
        <v>1553</v>
      </c>
      <c r="U1623" s="52" t="s">
        <v>1553</v>
      </c>
      <c r="V1623" s="52" t="s">
        <v>1553</v>
      </c>
      <c r="Z1623" s="26" t="s">
        <v>531</v>
      </c>
      <c r="AD1623" s="26" t="s">
        <v>1521</v>
      </c>
      <c r="AE1623" s="26" t="s">
        <v>1721</v>
      </c>
      <c r="AF1623" s="152" t="s">
        <v>1764</v>
      </c>
      <c r="AG1623" s="26" t="s">
        <v>190</v>
      </c>
      <c r="AH1623" s="154" t="s">
        <v>190</v>
      </c>
      <c r="AI1623" s="26" t="s">
        <v>147</v>
      </c>
      <c r="AO1623" s="26" t="s">
        <v>1304</v>
      </c>
      <c r="AP1623" s="26" t="s">
        <v>1304</v>
      </c>
      <c r="AQ1623" s="26" t="s">
        <v>212</v>
      </c>
      <c r="AS1623" s="26">
        <v>2</v>
      </c>
      <c r="AT1623" s="26">
        <v>2</v>
      </c>
      <c r="AU1623" s="26" t="s">
        <v>169</v>
      </c>
      <c r="CW1623" s="26">
        <v>1E-3</v>
      </c>
      <c r="CX1623" s="26">
        <v>0</v>
      </c>
      <c r="CY1623" s="26" t="s">
        <v>1306</v>
      </c>
      <c r="CZ1623" s="26">
        <v>3</v>
      </c>
      <c r="DA1623" s="26">
        <v>0</v>
      </c>
      <c r="DB1623" s="26" t="s">
        <v>1305</v>
      </c>
      <c r="FT1623" s="26">
        <v>75</v>
      </c>
    </row>
    <row r="1624" spans="1:176" s="26" customFormat="1" x14ac:dyDescent="0.25">
      <c r="A1624" s="26">
        <v>75</v>
      </c>
      <c r="B1624" s="26" t="s">
        <v>1296</v>
      </c>
      <c r="C1624" s="26" t="s">
        <v>1297</v>
      </c>
      <c r="D1624" s="26">
        <v>1989</v>
      </c>
      <c r="E1624" s="26">
        <v>1985</v>
      </c>
      <c r="F1624" s="26" t="s">
        <v>498</v>
      </c>
      <c r="G1624" s="26" t="s">
        <v>1298</v>
      </c>
      <c r="H1624" s="26">
        <v>38.950000000000003</v>
      </c>
      <c r="I1624" s="26">
        <v>-91.94</v>
      </c>
      <c r="J1624" s="26">
        <v>251.9</v>
      </c>
      <c r="P1624" s="52">
        <v>1</v>
      </c>
      <c r="Q1624" s="52"/>
      <c r="R1624" s="52" t="s">
        <v>1301</v>
      </c>
      <c r="S1624" s="52" t="s">
        <v>1553</v>
      </c>
      <c r="T1624" s="52" t="s">
        <v>1553</v>
      </c>
      <c r="U1624" s="52" t="s">
        <v>1553</v>
      </c>
      <c r="V1624" s="52" t="s">
        <v>1553</v>
      </c>
      <c r="Z1624" s="26" t="s">
        <v>531</v>
      </c>
      <c r="AD1624" s="26" t="s">
        <v>1521</v>
      </c>
      <c r="AE1624" s="26" t="s">
        <v>1721</v>
      </c>
      <c r="AF1624" s="152" t="s">
        <v>1764</v>
      </c>
      <c r="AG1624" s="26" t="s">
        <v>190</v>
      </c>
      <c r="AH1624" s="154" t="s">
        <v>190</v>
      </c>
      <c r="AI1624" s="26" t="s">
        <v>147</v>
      </c>
      <c r="AO1624" s="26" t="s">
        <v>1304</v>
      </c>
      <c r="AP1624" s="26" t="s">
        <v>1304</v>
      </c>
      <c r="AQ1624" s="26" t="s">
        <v>212</v>
      </c>
      <c r="AS1624" s="26">
        <v>2</v>
      </c>
      <c r="AT1624" s="26">
        <v>2</v>
      </c>
      <c r="AU1624" s="26" t="s">
        <v>169</v>
      </c>
      <c r="CW1624" s="26">
        <v>1E-3</v>
      </c>
      <c r="CX1624" s="26">
        <v>0</v>
      </c>
      <c r="CY1624" s="26" t="s">
        <v>1306</v>
      </c>
      <c r="CZ1624" s="26">
        <v>258</v>
      </c>
      <c r="DA1624" s="26">
        <v>156</v>
      </c>
      <c r="DB1624" s="26" t="s">
        <v>1305</v>
      </c>
      <c r="FT1624" s="26">
        <v>75</v>
      </c>
    </row>
    <row r="1625" spans="1:176" s="26" customFormat="1" x14ac:dyDescent="0.25">
      <c r="A1625" s="26">
        <v>75</v>
      </c>
      <c r="B1625" s="26" t="s">
        <v>1296</v>
      </c>
      <c r="C1625" s="26" t="s">
        <v>1297</v>
      </c>
      <c r="D1625" s="26">
        <v>1989</v>
      </c>
      <c r="E1625" s="26">
        <v>1985</v>
      </c>
      <c r="F1625" s="26" t="s">
        <v>498</v>
      </c>
      <c r="G1625" s="26" t="s">
        <v>1298</v>
      </c>
      <c r="H1625" s="26">
        <v>38.950000000000003</v>
      </c>
      <c r="I1625" s="26">
        <v>-91.94</v>
      </c>
      <c r="J1625" s="26">
        <v>251.9</v>
      </c>
      <c r="P1625" s="52">
        <v>1</v>
      </c>
      <c r="Q1625" s="52"/>
      <c r="R1625" s="52" t="s">
        <v>1302</v>
      </c>
      <c r="S1625" s="52" t="s">
        <v>1553</v>
      </c>
      <c r="T1625" s="52" t="s">
        <v>1553</v>
      </c>
      <c r="U1625" s="52" t="s">
        <v>1553</v>
      </c>
      <c r="V1625" s="52" t="s">
        <v>1553</v>
      </c>
      <c r="Z1625" s="26" t="s">
        <v>531</v>
      </c>
      <c r="AD1625" s="26" t="s">
        <v>1521</v>
      </c>
      <c r="AE1625" s="26" t="s">
        <v>1721</v>
      </c>
      <c r="AF1625" s="152" t="s">
        <v>1764</v>
      </c>
      <c r="AG1625" s="26" t="s">
        <v>190</v>
      </c>
      <c r="AH1625" s="154" t="s">
        <v>190</v>
      </c>
      <c r="AI1625" s="26" t="s">
        <v>147</v>
      </c>
      <c r="AO1625" s="26" t="s">
        <v>1304</v>
      </c>
      <c r="AP1625" s="26" t="s">
        <v>1304</v>
      </c>
      <c r="AQ1625" s="26" t="s">
        <v>212</v>
      </c>
      <c r="AS1625" s="26">
        <v>2</v>
      </c>
      <c r="AT1625" s="26">
        <v>2</v>
      </c>
      <c r="AU1625" s="26" t="s">
        <v>169</v>
      </c>
      <c r="CW1625" s="26">
        <v>2454</v>
      </c>
      <c r="CX1625" s="26">
        <v>420</v>
      </c>
      <c r="CY1625" s="26" t="s">
        <v>1306</v>
      </c>
      <c r="CZ1625" s="26">
        <v>311</v>
      </c>
      <c r="DA1625" s="26">
        <v>213</v>
      </c>
      <c r="DB1625" s="26" t="s">
        <v>1305</v>
      </c>
      <c r="FT1625" s="26">
        <v>75</v>
      </c>
    </row>
    <row r="1626" spans="1:176" s="35" customFormat="1" x14ac:dyDescent="0.25">
      <c r="A1626" s="35">
        <v>75</v>
      </c>
      <c r="B1626" s="35" t="s">
        <v>1296</v>
      </c>
      <c r="C1626" s="35" t="s">
        <v>1297</v>
      </c>
      <c r="D1626" s="35">
        <v>1989</v>
      </c>
      <c r="E1626" s="35">
        <v>1985</v>
      </c>
      <c r="F1626" s="35" t="s">
        <v>498</v>
      </c>
      <c r="G1626" s="35" t="s">
        <v>1298</v>
      </c>
      <c r="H1626" s="35">
        <v>38.950000000000003</v>
      </c>
      <c r="I1626" s="35">
        <v>-91.94</v>
      </c>
      <c r="J1626" s="35">
        <v>251.9</v>
      </c>
      <c r="P1626" s="54">
        <v>1</v>
      </c>
      <c r="Q1626" s="54"/>
      <c r="R1626" s="54" t="s">
        <v>1303</v>
      </c>
      <c r="S1626" s="54" t="s">
        <v>1553</v>
      </c>
      <c r="T1626" s="54" t="s">
        <v>1553</v>
      </c>
      <c r="U1626" s="54" t="s">
        <v>1553</v>
      </c>
      <c r="V1626" s="54" t="s">
        <v>1553</v>
      </c>
      <c r="Z1626" s="35" t="s">
        <v>531</v>
      </c>
      <c r="AD1626" s="35" t="s">
        <v>1521</v>
      </c>
      <c r="AE1626" s="35" t="s">
        <v>1722</v>
      </c>
      <c r="AF1626" s="152" t="s">
        <v>1761</v>
      </c>
      <c r="AG1626" s="35" t="s">
        <v>190</v>
      </c>
      <c r="AH1626" s="154" t="s">
        <v>190</v>
      </c>
      <c r="AI1626" s="35" t="s">
        <v>147</v>
      </c>
      <c r="AO1626" s="35" t="s">
        <v>1304</v>
      </c>
      <c r="AP1626" s="35" t="s">
        <v>1304</v>
      </c>
      <c r="AQ1626" s="35" t="s">
        <v>212</v>
      </c>
      <c r="AS1626" s="35">
        <v>2</v>
      </c>
      <c r="AT1626" s="35">
        <v>2</v>
      </c>
      <c r="AU1626" s="35" t="s">
        <v>169</v>
      </c>
      <c r="CW1626" s="35">
        <v>336</v>
      </c>
      <c r="CX1626" s="35">
        <v>0</v>
      </c>
      <c r="CY1626" s="35" t="s">
        <v>1306</v>
      </c>
      <c r="CZ1626" s="35">
        <v>4</v>
      </c>
      <c r="DA1626" s="35">
        <v>0</v>
      </c>
      <c r="DB1626" s="35" t="s">
        <v>1305</v>
      </c>
      <c r="FT1626" s="35">
        <v>75</v>
      </c>
    </row>
    <row r="1627" spans="1:176" s="35" customFormat="1" x14ac:dyDescent="0.25">
      <c r="A1627" s="35">
        <v>75</v>
      </c>
      <c r="B1627" s="35" t="s">
        <v>1296</v>
      </c>
      <c r="C1627" s="35" t="s">
        <v>1297</v>
      </c>
      <c r="D1627" s="35">
        <v>1989</v>
      </c>
      <c r="E1627" s="35">
        <v>1985</v>
      </c>
      <c r="F1627" s="35" t="s">
        <v>498</v>
      </c>
      <c r="G1627" s="35" t="s">
        <v>1298</v>
      </c>
      <c r="H1627" s="35">
        <v>38.950000000000003</v>
      </c>
      <c r="I1627" s="35">
        <v>-91.94</v>
      </c>
      <c r="J1627" s="35">
        <v>251.9</v>
      </c>
      <c r="P1627" s="54">
        <v>1</v>
      </c>
      <c r="Q1627" s="54"/>
      <c r="R1627" s="54" t="s">
        <v>1299</v>
      </c>
      <c r="S1627" s="54" t="s">
        <v>1553</v>
      </c>
      <c r="T1627" s="54" t="s">
        <v>1553</v>
      </c>
      <c r="U1627" s="54" t="s">
        <v>1553</v>
      </c>
      <c r="V1627" s="54" t="s">
        <v>1553</v>
      </c>
      <c r="Z1627" s="35" t="s">
        <v>531</v>
      </c>
      <c r="AD1627" s="35" t="s">
        <v>1521</v>
      </c>
      <c r="AE1627" s="35" t="s">
        <v>1722</v>
      </c>
      <c r="AF1627" s="152" t="s">
        <v>1761</v>
      </c>
      <c r="AG1627" s="35" t="s">
        <v>190</v>
      </c>
      <c r="AH1627" s="154" t="s">
        <v>190</v>
      </c>
      <c r="AI1627" s="35" t="s">
        <v>147</v>
      </c>
      <c r="AO1627" s="35" t="s">
        <v>1304</v>
      </c>
      <c r="AP1627" s="35" t="s">
        <v>1304</v>
      </c>
      <c r="AQ1627" s="35" t="s">
        <v>212</v>
      </c>
      <c r="AS1627" s="35">
        <v>2</v>
      </c>
      <c r="AT1627" s="35">
        <v>2</v>
      </c>
      <c r="AU1627" s="35" t="s">
        <v>169</v>
      </c>
      <c r="CW1627" s="35">
        <v>1984</v>
      </c>
      <c r="CX1627" s="35">
        <v>168</v>
      </c>
      <c r="CY1627" s="35" t="s">
        <v>1306</v>
      </c>
      <c r="CZ1627" s="35">
        <v>53</v>
      </c>
      <c r="DA1627" s="35">
        <v>34</v>
      </c>
      <c r="DB1627" s="35" t="s">
        <v>1305</v>
      </c>
      <c r="FT1627" s="35">
        <v>75</v>
      </c>
    </row>
    <row r="1628" spans="1:176" s="35" customFormat="1" x14ac:dyDescent="0.25">
      <c r="A1628" s="35">
        <v>75</v>
      </c>
      <c r="B1628" s="35" t="s">
        <v>1296</v>
      </c>
      <c r="C1628" s="35" t="s">
        <v>1297</v>
      </c>
      <c r="D1628" s="35">
        <v>1989</v>
      </c>
      <c r="E1628" s="35">
        <v>1985</v>
      </c>
      <c r="F1628" s="35" t="s">
        <v>498</v>
      </c>
      <c r="G1628" s="35" t="s">
        <v>1298</v>
      </c>
      <c r="H1628" s="35">
        <v>38.950000000000003</v>
      </c>
      <c r="I1628" s="35">
        <v>-91.94</v>
      </c>
      <c r="J1628" s="35">
        <v>251.9</v>
      </c>
      <c r="P1628" s="54">
        <v>1</v>
      </c>
      <c r="Q1628" s="54"/>
      <c r="R1628" s="54" t="s">
        <v>1300</v>
      </c>
      <c r="S1628" s="54" t="s">
        <v>1553</v>
      </c>
      <c r="T1628" s="54" t="s">
        <v>1553</v>
      </c>
      <c r="U1628" s="54" t="s">
        <v>1553</v>
      </c>
      <c r="V1628" s="54" t="s">
        <v>1553</v>
      </c>
      <c r="Z1628" s="35" t="s">
        <v>531</v>
      </c>
      <c r="AD1628" s="35" t="s">
        <v>1521</v>
      </c>
      <c r="AE1628" s="35" t="s">
        <v>1722</v>
      </c>
      <c r="AF1628" s="152" t="s">
        <v>1761</v>
      </c>
      <c r="AG1628" s="35" t="s">
        <v>190</v>
      </c>
      <c r="AH1628" s="154" t="s">
        <v>190</v>
      </c>
      <c r="AI1628" s="35" t="s">
        <v>147</v>
      </c>
      <c r="AO1628" s="35" t="s">
        <v>1304</v>
      </c>
      <c r="AP1628" s="35" t="s">
        <v>1304</v>
      </c>
      <c r="AQ1628" s="35" t="s">
        <v>212</v>
      </c>
      <c r="AS1628" s="35">
        <v>2</v>
      </c>
      <c r="AT1628" s="35">
        <v>2</v>
      </c>
      <c r="AU1628" s="35" t="s">
        <v>169</v>
      </c>
      <c r="CW1628" s="35">
        <v>1E-3</v>
      </c>
      <c r="CX1628" s="35">
        <v>0</v>
      </c>
      <c r="CY1628" s="35" t="s">
        <v>1306</v>
      </c>
      <c r="CZ1628" s="35">
        <v>3</v>
      </c>
      <c r="DA1628" s="35">
        <v>0</v>
      </c>
      <c r="DB1628" s="35" t="s">
        <v>1305</v>
      </c>
      <c r="FT1628" s="35">
        <v>75</v>
      </c>
    </row>
    <row r="1629" spans="1:176" s="35" customFormat="1" x14ac:dyDescent="0.25">
      <c r="A1629" s="35">
        <v>75</v>
      </c>
      <c r="B1629" s="35" t="s">
        <v>1296</v>
      </c>
      <c r="C1629" s="35" t="s">
        <v>1297</v>
      </c>
      <c r="D1629" s="35">
        <v>1989</v>
      </c>
      <c r="E1629" s="35">
        <v>1985</v>
      </c>
      <c r="F1629" s="35" t="s">
        <v>498</v>
      </c>
      <c r="G1629" s="35" t="s">
        <v>1298</v>
      </c>
      <c r="H1629" s="35">
        <v>38.950000000000003</v>
      </c>
      <c r="I1629" s="35">
        <v>-91.94</v>
      </c>
      <c r="J1629" s="35">
        <v>251.9</v>
      </c>
      <c r="P1629" s="54">
        <v>1</v>
      </c>
      <c r="Q1629" s="54"/>
      <c r="R1629" s="54" t="s">
        <v>1301</v>
      </c>
      <c r="S1629" s="54" t="s">
        <v>1553</v>
      </c>
      <c r="T1629" s="54" t="s">
        <v>1553</v>
      </c>
      <c r="U1629" s="54" t="s">
        <v>1553</v>
      </c>
      <c r="V1629" s="54" t="s">
        <v>1553</v>
      </c>
      <c r="Z1629" s="35" t="s">
        <v>531</v>
      </c>
      <c r="AD1629" s="35" t="s">
        <v>1521</v>
      </c>
      <c r="AE1629" s="35" t="s">
        <v>1722</v>
      </c>
      <c r="AF1629" s="152" t="s">
        <v>1761</v>
      </c>
      <c r="AG1629" s="35" t="s">
        <v>190</v>
      </c>
      <c r="AH1629" s="154" t="s">
        <v>190</v>
      </c>
      <c r="AI1629" s="35" t="s">
        <v>147</v>
      </c>
      <c r="AO1629" s="35" t="s">
        <v>1304</v>
      </c>
      <c r="AP1629" s="35" t="s">
        <v>1304</v>
      </c>
      <c r="AQ1629" s="35" t="s">
        <v>212</v>
      </c>
      <c r="AS1629" s="35">
        <v>2</v>
      </c>
      <c r="AT1629" s="35">
        <v>2</v>
      </c>
      <c r="AU1629" s="35" t="s">
        <v>169</v>
      </c>
      <c r="CW1629" s="35">
        <v>1E-3</v>
      </c>
      <c r="CX1629" s="35">
        <v>0</v>
      </c>
      <c r="CY1629" s="35" t="s">
        <v>1306</v>
      </c>
      <c r="CZ1629" s="35">
        <v>258</v>
      </c>
      <c r="DA1629" s="35">
        <v>180</v>
      </c>
      <c r="DB1629" s="35" t="s">
        <v>1305</v>
      </c>
      <c r="FT1629" s="35">
        <v>75</v>
      </c>
    </row>
    <row r="1630" spans="1:176" s="35" customFormat="1" x14ac:dyDescent="0.25">
      <c r="A1630" s="35">
        <v>75</v>
      </c>
      <c r="B1630" s="35" t="s">
        <v>1296</v>
      </c>
      <c r="C1630" s="35" t="s">
        <v>1297</v>
      </c>
      <c r="D1630" s="35">
        <v>1989</v>
      </c>
      <c r="E1630" s="35">
        <v>1985</v>
      </c>
      <c r="F1630" s="35" t="s">
        <v>498</v>
      </c>
      <c r="G1630" s="35" t="s">
        <v>1298</v>
      </c>
      <c r="H1630" s="35">
        <v>38.950000000000003</v>
      </c>
      <c r="I1630" s="35">
        <v>-91.94</v>
      </c>
      <c r="J1630" s="35">
        <v>251.9</v>
      </c>
      <c r="P1630" s="54">
        <v>1</v>
      </c>
      <c r="Q1630" s="54"/>
      <c r="R1630" s="54" t="s">
        <v>1302</v>
      </c>
      <c r="S1630" s="54" t="s">
        <v>1553</v>
      </c>
      <c r="T1630" s="54" t="s">
        <v>1553</v>
      </c>
      <c r="U1630" s="54" t="s">
        <v>1553</v>
      </c>
      <c r="V1630" s="54" t="s">
        <v>1553</v>
      </c>
      <c r="Z1630" s="35" t="s">
        <v>531</v>
      </c>
      <c r="AD1630" s="35" t="s">
        <v>1521</v>
      </c>
      <c r="AE1630" s="35" t="s">
        <v>1722</v>
      </c>
      <c r="AF1630" s="152" t="s">
        <v>1761</v>
      </c>
      <c r="AG1630" s="35" t="s">
        <v>190</v>
      </c>
      <c r="AH1630" s="154" t="s">
        <v>190</v>
      </c>
      <c r="AI1630" s="35" t="s">
        <v>147</v>
      </c>
      <c r="AO1630" s="35" t="s">
        <v>1304</v>
      </c>
      <c r="AP1630" s="35" t="s">
        <v>1304</v>
      </c>
      <c r="AQ1630" s="35" t="s">
        <v>212</v>
      </c>
      <c r="AS1630" s="35">
        <v>2</v>
      </c>
      <c r="AT1630" s="35">
        <v>2</v>
      </c>
      <c r="AU1630" s="35" t="s">
        <v>169</v>
      </c>
      <c r="CW1630" s="35">
        <v>2454</v>
      </c>
      <c r="CX1630" s="35">
        <v>185</v>
      </c>
      <c r="CY1630" s="35" t="s">
        <v>1306</v>
      </c>
      <c r="CZ1630" s="35">
        <v>311</v>
      </c>
      <c r="DA1630" s="35">
        <v>217</v>
      </c>
      <c r="DB1630" s="35" t="s">
        <v>1305</v>
      </c>
      <c r="FT1630" s="35">
        <v>75</v>
      </c>
    </row>
    <row r="1631" spans="1:176" s="26" customFormat="1" x14ac:dyDescent="0.25">
      <c r="A1631" s="26">
        <v>75</v>
      </c>
      <c r="B1631" s="26" t="s">
        <v>1296</v>
      </c>
      <c r="C1631" s="26" t="s">
        <v>1297</v>
      </c>
      <c r="D1631" s="26">
        <v>1989</v>
      </c>
      <c r="E1631" s="26">
        <v>1985</v>
      </c>
      <c r="F1631" s="26" t="s">
        <v>498</v>
      </c>
      <c r="G1631" s="26" t="s">
        <v>1298</v>
      </c>
      <c r="H1631" s="26">
        <v>38.950000000000003</v>
      </c>
      <c r="I1631" s="26">
        <v>-91.94</v>
      </c>
      <c r="J1631" s="26">
        <v>251.9</v>
      </c>
      <c r="P1631" s="52">
        <v>1</v>
      </c>
      <c r="Q1631" s="52"/>
      <c r="R1631" s="52" t="s">
        <v>1303</v>
      </c>
      <c r="S1631" s="52" t="s">
        <v>1553</v>
      </c>
      <c r="T1631" s="52" t="s">
        <v>1553</v>
      </c>
      <c r="U1631" s="52" t="s">
        <v>1553</v>
      </c>
      <c r="V1631" s="52" t="s">
        <v>1553</v>
      </c>
      <c r="Z1631" s="26" t="s">
        <v>531</v>
      </c>
      <c r="AD1631" s="26" t="s">
        <v>1521</v>
      </c>
      <c r="AE1631" s="26" t="s">
        <v>1723</v>
      </c>
      <c r="AF1631" s="152" t="s">
        <v>159</v>
      </c>
      <c r="AG1631" s="26" t="s">
        <v>190</v>
      </c>
      <c r="AH1631" s="154" t="s">
        <v>190</v>
      </c>
      <c r="AI1631" s="26" t="s">
        <v>147</v>
      </c>
      <c r="AO1631" s="26" t="s">
        <v>1304</v>
      </c>
      <c r="AP1631" s="26" t="s">
        <v>1304</v>
      </c>
      <c r="AQ1631" s="26" t="s">
        <v>212</v>
      </c>
      <c r="AS1631" s="26">
        <v>2</v>
      </c>
      <c r="AT1631" s="26">
        <v>2</v>
      </c>
      <c r="AU1631" s="26" t="s">
        <v>169</v>
      </c>
      <c r="CW1631" s="26">
        <v>336</v>
      </c>
      <c r="CX1631" s="26">
        <v>0</v>
      </c>
      <c r="CY1631" s="26" t="s">
        <v>1306</v>
      </c>
      <c r="CZ1631" s="26">
        <v>4</v>
      </c>
      <c r="DA1631" s="26">
        <v>0</v>
      </c>
      <c r="DB1631" s="26" t="s">
        <v>1305</v>
      </c>
      <c r="FT1631" s="26">
        <v>75</v>
      </c>
    </row>
    <row r="1632" spans="1:176" s="26" customFormat="1" x14ac:dyDescent="0.25">
      <c r="A1632" s="26">
        <v>75</v>
      </c>
      <c r="B1632" s="26" t="s">
        <v>1296</v>
      </c>
      <c r="C1632" s="26" t="s">
        <v>1297</v>
      </c>
      <c r="D1632" s="26">
        <v>1989</v>
      </c>
      <c r="E1632" s="26">
        <v>1985</v>
      </c>
      <c r="F1632" s="26" t="s">
        <v>498</v>
      </c>
      <c r="G1632" s="26" t="s">
        <v>1298</v>
      </c>
      <c r="H1632" s="26">
        <v>38.950000000000003</v>
      </c>
      <c r="I1632" s="26">
        <v>-91.94</v>
      </c>
      <c r="J1632" s="26">
        <v>251.9</v>
      </c>
      <c r="P1632" s="52">
        <v>1</v>
      </c>
      <c r="Q1632" s="52"/>
      <c r="R1632" s="52" t="s">
        <v>1299</v>
      </c>
      <c r="S1632" s="52" t="s">
        <v>1553</v>
      </c>
      <c r="T1632" s="52" t="s">
        <v>1553</v>
      </c>
      <c r="U1632" s="52" t="s">
        <v>1553</v>
      </c>
      <c r="V1632" s="52" t="s">
        <v>1553</v>
      </c>
      <c r="Z1632" s="26" t="s">
        <v>531</v>
      </c>
      <c r="AD1632" s="26" t="s">
        <v>1521</v>
      </c>
      <c r="AE1632" s="26" t="s">
        <v>1723</v>
      </c>
      <c r="AF1632" s="152" t="s">
        <v>159</v>
      </c>
      <c r="AG1632" s="26" t="s">
        <v>190</v>
      </c>
      <c r="AH1632" s="154" t="s">
        <v>190</v>
      </c>
      <c r="AI1632" s="26" t="s">
        <v>147</v>
      </c>
      <c r="AO1632" s="26" t="s">
        <v>1304</v>
      </c>
      <c r="AP1632" s="26" t="s">
        <v>1304</v>
      </c>
      <c r="AQ1632" s="26" t="s">
        <v>212</v>
      </c>
      <c r="AS1632" s="26">
        <v>2</v>
      </c>
      <c r="AT1632" s="26">
        <v>2</v>
      </c>
      <c r="AU1632" s="26" t="s">
        <v>169</v>
      </c>
      <c r="CW1632" s="26">
        <v>1984</v>
      </c>
      <c r="CX1632" s="26">
        <v>213</v>
      </c>
      <c r="CY1632" s="26" t="s">
        <v>1306</v>
      </c>
      <c r="CZ1632" s="26">
        <v>53</v>
      </c>
      <c r="DA1632" s="26">
        <v>25</v>
      </c>
      <c r="DB1632" s="26" t="s">
        <v>1305</v>
      </c>
      <c r="FT1632" s="26">
        <v>75</v>
      </c>
    </row>
    <row r="1633" spans="1:176" s="26" customFormat="1" x14ac:dyDescent="0.25">
      <c r="A1633" s="26">
        <v>75</v>
      </c>
      <c r="B1633" s="26" t="s">
        <v>1296</v>
      </c>
      <c r="C1633" s="26" t="s">
        <v>1297</v>
      </c>
      <c r="D1633" s="26">
        <v>1989</v>
      </c>
      <c r="E1633" s="26">
        <v>1985</v>
      </c>
      <c r="F1633" s="26" t="s">
        <v>498</v>
      </c>
      <c r="G1633" s="26" t="s">
        <v>1298</v>
      </c>
      <c r="H1633" s="26">
        <v>38.950000000000003</v>
      </c>
      <c r="I1633" s="26">
        <v>-91.94</v>
      </c>
      <c r="J1633" s="26">
        <v>251.9</v>
      </c>
      <c r="P1633" s="52">
        <v>1</v>
      </c>
      <c r="Q1633" s="52"/>
      <c r="R1633" s="52" t="s">
        <v>1300</v>
      </c>
      <c r="S1633" s="52" t="s">
        <v>1553</v>
      </c>
      <c r="T1633" s="52" t="s">
        <v>1553</v>
      </c>
      <c r="U1633" s="52" t="s">
        <v>1553</v>
      </c>
      <c r="V1633" s="52" t="s">
        <v>1553</v>
      </c>
      <c r="Z1633" s="26" t="s">
        <v>531</v>
      </c>
      <c r="AD1633" s="26" t="s">
        <v>1521</v>
      </c>
      <c r="AE1633" s="26" t="s">
        <v>1723</v>
      </c>
      <c r="AF1633" s="152" t="s">
        <v>159</v>
      </c>
      <c r="AG1633" s="26" t="s">
        <v>190</v>
      </c>
      <c r="AH1633" s="154" t="s">
        <v>190</v>
      </c>
      <c r="AI1633" s="26" t="s">
        <v>147</v>
      </c>
      <c r="AO1633" s="26" t="s">
        <v>1304</v>
      </c>
      <c r="AP1633" s="26" t="s">
        <v>1304</v>
      </c>
      <c r="AQ1633" s="26" t="s">
        <v>212</v>
      </c>
      <c r="AS1633" s="26">
        <v>2</v>
      </c>
      <c r="AT1633" s="26">
        <v>2</v>
      </c>
      <c r="AU1633" s="26" t="s">
        <v>169</v>
      </c>
      <c r="CW1633" s="26">
        <v>1E-3</v>
      </c>
      <c r="CX1633" s="26">
        <v>0</v>
      </c>
      <c r="CY1633" s="26" t="s">
        <v>1306</v>
      </c>
      <c r="CZ1633" s="26">
        <v>3</v>
      </c>
      <c r="DA1633" s="26">
        <v>0</v>
      </c>
      <c r="DB1633" s="26" t="s">
        <v>1305</v>
      </c>
      <c r="FT1633" s="26">
        <v>75</v>
      </c>
    </row>
    <row r="1634" spans="1:176" s="26" customFormat="1" x14ac:dyDescent="0.25">
      <c r="A1634" s="26">
        <v>75</v>
      </c>
      <c r="B1634" s="26" t="s">
        <v>1296</v>
      </c>
      <c r="C1634" s="26" t="s">
        <v>1297</v>
      </c>
      <c r="D1634" s="26">
        <v>1989</v>
      </c>
      <c r="E1634" s="26">
        <v>1985</v>
      </c>
      <c r="F1634" s="26" t="s">
        <v>498</v>
      </c>
      <c r="G1634" s="26" t="s">
        <v>1298</v>
      </c>
      <c r="H1634" s="26">
        <v>38.950000000000003</v>
      </c>
      <c r="I1634" s="26">
        <v>-91.94</v>
      </c>
      <c r="J1634" s="26">
        <v>251.9</v>
      </c>
      <c r="P1634" s="52">
        <v>1</v>
      </c>
      <c r="Q1634" s="52"/>
      <c r="R1634" s="52" t="s">
        <v>1301</v>
      </c>
      <c r="S1634" s="52" t="s">
        <v>1553</v>
      </c>
      <c r="T1634" s="52" t="s">
        <v>1553</v>
      </c>
      <c r="U1634" s="52" t="s">
        <v>1553</v>
      </c>
      <c r="V1634" s="52" t="s">
        <v>1553</v>
      </c>
      <c r="Z1634" s="26" t="s">
        <v>531</v>
      </c>
      <c r="AD1634" s="26" t="s">
        <v>1521</v>
      </c>
      <c r="AE1634" s="26" t="s">
        <v>1723</v>
      </c>
      <c r="AF1634" s="152" t="s">
        <v>159</v>
      </c>
      <c r="AG1634" s="26" t="s">
        <v>190</v>
      </c>
      <c r="AH1634" s="154" t="s">
        <v>190</v>
      </c>
      <c r="AI1634" s="26" t="s">
        <v>147</v>
      </c>
      <c r="AO1634" s="26" t="s">
        <v>1304</v>
      </c>
      <c r="AP1634" s="26" t="s">
        <v>1304</v>
      </c>
      <c r="AQ1634" s="26" t="s">
        <v>212</v>
      </c>
      <c r="AS1634" s="26">
        <v>2</v>
      </c>
      <c r="AT1634" s="26">
        <v>2</v>
      </c>
      <c r="AU1634" s="26" t="s">
        <v>169</v>
      </c>
      <c r="CW1634" s="26">
        <v>1E-3</v>
      </c>
      <c r="CX1634" s="26">
        <v>0</v>
      </c>
      <c r="CY1634" s="26" t="s">
        <v>1306</v>
      </c>
      <c r="CZ1634" s="26">
        <v>258</v>
      </c>
      <c r="DA1634" s="26">
        <v>136</v>
      </c>
      <c r="DB1634" s="26" t="s">
        <v>1305</v>
      </c>
      <c r="FT1634" s="26">
        <v>75</v>
      </c>
    </row>
    <row r="1635" spans="1:176" s="26" customFormat="1" x14ac:dyDescent="0.25">
      <c r="A1635" s="26">
        <v>75</v>
      </c>
      <c r="B1635" s="26" t="s">
        <v>1296</v>
      </c>
      <c r="C1635" s="26" t="s">
        <v>1297</v>
      </c>
      <c r="D1635" s="26">
        <v>1989</v>
      </c>
      <c r="E1635" s="26">
        <v>1985</v>
      </c>
      <c r="F1635" s="26" t="s">
        <v>498</v>
      </c>
      <c r="G1635" s="26" t="s">
        <v>1298</v>
      </c>
      <c r="H1635" s="26">
        <v>38.950000000000003</v>
      </c>
      <c r="I1635" s="26">
        <v>-91.94</v>
      </c>
      <c r="J1635" s="26">
        <v>251.9</v>
      </c>
      <c r="P1635" s="52">
        <v>1</v>
      </c>
      <c r="Q1635" s="52"/>
      <c r="R1635" s="52" t="s">
        <v>1302</v>
      </c>
      <c r="S1635" s="52" t="s">
        <v>1553</v>
      </c>
      <c r="T1635" s="52" t="s">
        <v>1553</v>
      </c>
      <c r="U1635" s="52" t="s">
        <v>1553</v>
      </c>
      <c r="V1635" s="52" t="s">
        <v>1553</v>
      </c>
      <c r="Z1635" s="26" t="s">
        <v>531</v>
      </c>
      <c r="AD1635" s="26" t="s">
        <v>1521</v>
      </c>
      <c r="AE1635" s="26" t="s">
        <v>1723</v>
      </c>
      <c r="AF1635" s="152" t="s">
        <v>159</v>
      </c>
      <c r="AG1635" s="26" t="s">
        <v>190</v>
      </c>
      <c r="AH1635" s="154" t="s">
        <v>190</v>
      </c>
      <c r="AI1635" s="26" t="s">
        <v>147</v>
      </c>
      <c r="AO1635" s="26" t="s">
        <v>1304</v>
      </c>
      <c r="AP1635" s="26" t="s">
        <v>1304</v>
      </c>
      <c r="AQ1635" s="26" t="s">
        <v>212</v>
      </c>
      <c r="AS1635" s="26">
        <v>2</v>
      </c>
      <c r="AT1635" s="26">
        <v>2</v>
      </c>
      <c r="AU1635" s="26" t="s">
        <v>169</v>
      </c>
      <c r="CW1635" s="26">
        <v>2454</v>
      </c>
      <c r="CX1635" s="26">
        <v>235</v>
      </c>
      <c r="CY1635" s="26" t="s">
        <v>1306</v>
      </c>
      <c r="CZ1635" s="26">
        <v>311</v>
      </c>
      <c r="DA1635" s="26">
        <v>200</v>
      </c>
      <c r="DB1635" s="26" t="s">
        <v>1305</v>
      </c>
      <c r="FT1635" s="26">
        <v>75</v>
      </c>
    </row>
    <row r="1636" spans="1:176" s="113" customFormat="1" x14ac:dyDescent="0.25">
      <c r="A1636" s="113">
        <v>75</v>
      </c>
      <c r="B1636" s="113" t="s">
        <v>1296</v>
      </c>
      <c r="C1636" s="113" t="s">
        <v>1297</v>
      </c>
      <c r="D1636" s="113">
        <v>1989</v>
      </c>
      <c r="E1636" s="113">
        <v>1986</v>
      </c>
      <c r="F1636" s="113" t="s">
        <v>498</v>
      </c>
      <c r="G1636" s="113" t="s">
        <v>1298</v>
      </c>
      <c r="H1636" s="113">
        <v>38.950000000000003</v>
      </c>
      <c r="I1636" s="113">
        <v>-91.94</v>
      </c>
      <c r="J1636" s="113">
        <v>251.9</v>
      </c>
      <c r="P1636" s="114">
        <v>2</v>
      </c>
      <c r="Q1636" s="114"/>
      <c r="R1636" s="114" t="s">
        <v>1303</v>
      </c>
      <c r="S1636" s="52" t="s">
        <v>1553</v>
      </c>
      <c r="T1636" s="52" t="s">
        <v>1553</v>
      </c>
      <c r="U1636" s="52" t="s">
        <v>1553</v>
      </c>
      <c r="V1636" s="52" t="s">
        <v>1553</v>
      </c>
      <c r="Z1636" s="113" t="s">
        <v>531</v>
      </c>
      <c r="AD1636" s="113" t="s">
        <v>1521</v>
      </c>
      <c r="AE1636" s="113" t="s">
        <v>1721</v>
      </c>
      <c r="AF1636" s="152" t="s">
        <v>1764</v>
      </c>
      <c r="AG1636" s="113" t="s">
        <v>190</v>
      </c>
      <c r="AH1636" s="159" t="s">
        <v>190</v>
      </c>
      <c r="AI1636" s="113" t="s">
        <v>147</v>
      </c>
      <c r="AO1636" s="113" t="s">
        <v>1304</v>
      </c>
      <c r="AP1636" s="113" t="s">
        <v>1304</v>
      </c>
      <c r="AQ1636" s="113" t="s">
        <v>212</v>
      </c>
      <c r="AS1636" s="113">
        <v>2</v>
      </c>
      <c r="AT1636" s="113">
        <v>2</v>
      </c>
      <c r="AU1636" s="113" t="s">
        <v>169</v>
      </c>
      <c r="CW1636" s="113">
        <v>562</v>
      </c>
      <c r="CX1636" s="113">
        <v>45</v>
      </c>
      <c r="CY1636" s="113" t="s">
        <v>1306</v>
      </c>
      <c r="CZ1636" s="113">
        <v>10</v>
      </c>
      <c r="DA1636" s="113">
        <v>1</v>
      </c>
      <c r="DB1636" s="113" t="s">
        <v>1305</v>
      </c>
      <c r="FT1636" s="113">
        <v>75</v>
      </c>
    </row>
    <row r="1637" spans="1:176" s="113" customFormat="1" x14ac:dyDescent="0.25">
      <c r="A1637" s="113">
        <v>75</v>
      </c>
      <c r="B1637" s="113" t="s">
        <v>1296</v>
      </c>
      <c r="C1637" s="113" t="s">
        <v>1297</v>
      </c>
      <c r="D1637" s="113">
        <v>1989</v>
      </c>
      <c r="E1637" s="113">
        <v>1986</v>
      </c>
      <c r="F1637" s="113" t="s">
        <v>498</v>
      </c>
      <c r="G1637" s="113" t="s">
        <v>1298</v>
      </c>
      <c r="H1637" s="113">
        <v>38.950000000000003</v>
      </c>
      <c r="I1637" s="113">
        <v>-91.94</v>
      </c>
      <c r="J1637" s="113">
        <v>251.9</v>
      </c>
      <c r="P1637" s="114">
        <v>2</v>
      </c>
      <c r="Q1637" s="114"/>
      <c r="R1637" s="114" t="s">
        <v>1299</v>
      </c>
      <c r="S1637" s="52" t="s">
        <v>1553</v>
      </c>
      <c r="T1637" s="52" t="s">
        <v>1553</v>
      </c>
      <c r="U1637" s="52" t="s">
        <v>1553</v>
      </c>
      <c r="V1637" s="52" t="s">
        <v>1553</v>
      </c>
      <c r="Z1637" s="113" t="s">
        <v>531</v>
      </c>
      <c r="AD1637" s="113" t="s">
        <v>1521</v>
      </c>
      <c r="AE1637" s="113" t="s">
        <v>1721</v>
      </c>
      <c r="AF1637" s="152" t="s">
        <v>1764</v>
      </c>
      <c r="AG1637" s="113" t="s">
        <v>190</v>
      </c>
      <c r="AH1637" s="159" t="s">
        <v>190</v>
      </c>
      <c r="AI1637" s="113" t="s">
        <v>147</v>
      </c>
      <c r="AO1637" s="113" t="s">
        <v>1304</v>
      </c>
      <c r="AP1637" s="113" t="s">
        <v>1304</v>
      </c>
      <c r="AQ1637" s="113" t="s">
        <v>212</v>
      </c>
      <c r="AS1637" s="113">
        <v>2</v>
      </c>
      <c r="AT1637" s="113">
        <v>2</v>
      </c>
      <c r="AU1637" s="113" t="s">
        <v>169</v>
      </c>
      <c r="CW1637" s="113">
        <v>1E-3</v>
      </c>
      <c r="CX1637" s="113">
        <v>0</v>
      </c>
      <c r="CY1637" s="113" t="s">
        <v>1306</v>
      </c>
      <c r="CZ1637" s="113">
        <v>1</v>
      </c>
      <c r="DA1637" s="113">
        <v>0</v>
      </c>
      <c r="DB1637" s="113" t="s">
        <v>1305</v>
      </c>
      <c r="FT1637" s="113">
        <v>75</v>
      </c>
    </row>
    <row r="1638" spans="1:176" s="113" customFormat="1" x14ac:dyDescent="0.25">
      <c r="A1638" s="113">
        <v>75</v>
      </c>
      <c r="B1638" s="113" t="s">
        <v>1296</v>
      </c>
      <c r="C1638" s="113" t="s">
        <v>1297</v>
      </c>
      <c r="D1638" s="113">
        <v>1989</v>
      </c>
      <c r="E1638" s="113">
        <v>1986</v>
      </c>
      <c r="F1638" s="113" t="s">
        <v>498</v>
      </c>
      <c r="G1638" s="113" t="s">
        <v>1298</v>
      </c>
      <c r="H1638" s="113">
        <v>38.950000000000003</v>
      </c>
      <c r="I1638" s="113">
        <v>-91.94</v>
      </c>
      <c r="J1638" s="113">
        <v>251.9</v>
      </c>
      <c r="P1638" s="114">
        <v>2</v>
      </c>
      <c r="Q1638" s="114"/>
      <c r="R1638" s="114" t="s">
        <v>1300</v>
      </c>
      <c r="S1638" s="52" t="s">
        <v>1553</v>
      </c>
      <c r="T1638" s="52" t="s">
        <v>1553</v>
      </c>
      <c r="U1638" s="52" t="s">
        <v>1553</v>
      </c>
      <c r="V1638" s="52" t="s">
        <v>1553</v>
      </c>
      <c r="Z1638" s="113" t="s">
        <v>531</v>
      </c>
      <c r="AD1638" s="113" t="s">
        <v>1521</v>
      </c>
      <c r="AE1638" s="113" t="s">
        <v>1721</v>
      </c>
      <c r="AF1638" s="152" t="s">
        <v>1764</v>
      </c>
      <c r="AG1638" s="113" t="s">
        <v>190</v>
      </c>
      <c r="AH1638" s="159" t="s">
        <v>190</v>
      </c>
      <c r="AI1638" s="113" t="s">
        <v>147</v>
      </c>
      <c r="AO1638" s="113" t="s">
        <v>1304</v>
      </c>
      <c r="AP1638" s="113" t="s">
        <v>1304</v>
      </c>
      <c r="AQ1638" s="113" t="s">
        <v>212</v>
      </c>
      <c r="AS1638" s="113">
        <v>2</v>
      </c>
      <c r="AT1638" s="113">
        <v>2</v>
      </c>
      <c r="AU1638" s="113" t="s">
        <v>169</v>
      </c>
      <c r="CW1638" s="113">
        <v>1E-3</v>
      </c>
      <c r="CX1638" s="113">
        <v>0</v>
      </c>
      <c r="CY1638" s="113" t="s">
        <v>1306</v>
      </c>
      <c r="CZ1638" s="113">
        <v>7</v>
      </c>
      <c r="DA1638" s="113">
        <v>1</v>
      </c>
      <c r="DB1638" s="113" t="s">
        <v>1305</v>
      </c>
      <c r="FT1638" s="113">
        <v>75</v>
      </c>
    </row>
    <row r="1639" spans="1:176" s="113" customFormat="1" x14ac:dyDescent="0.25">
      <c r="A1639" s="113">
        <v>75</v>
      </c>
      <c r="B1639" s="113" t="s">
        <v>1296</v>
      </c>
      <c r="C1639" s="113" t="s">
        <v>1297</v>
      </c>
      <c r="D1639" s="113">
        <v>1989</v>
      </c>
      <c r="E1639" s="113">
        <v>1986</v>
      </c>
      <c r="F1639" s="113" t="s">
        <v>498</v>
      </c>
      <c r="G1639" s="113" t="s">
        <v>1298</v>
      </c>
      <c r="H1639" s="113">
        <v>38.950000000000003</v>
      </c>
      <c r="I1639" s="113">
        <v>-91.94</v>
      </c>
      <c r="J1639" s="113">
        <v>251.9</v>
      </c>
      <c r="P1639" s="114">
        <v>2</v>
      </c>
      <c r="Q1639" s="114"/>
      <c r="R1639" s="114" t="s">
        <v>1301</v>
      </c>
      <c r="S1639" s="52" t="s">
        <v>1553</v>
      </c>
      <c r="T1639" s="52" t="s">
        <v>1553</v>
      </c>
      <c r="U1639" s="52" t="s">
        <v>1553</v>
      </c>
      <c r="V1639" s="52" t="s">
        <v>1553</v>
      </c>
      <c r="Z1639" s="113" t="s">
        <v>531</v>
      </c>
      <c r="AD1639" s="113" t="s">
        <v>1521</v>
      </c>
      <c r="AE1639" s="113" t="s">
        <v>1721</v>
      </c>
      <c r="AF1639" s="152" t="s">
        <v>1764</v>
      </c>
      <c r="AG1639" s="113" t="s">
        <v>190</v>
      </c>
      <c r="AH1639" s="159" t="s">
        <v>190</v>
      </c>
      <c r="AI1639" s="113" t="s">
        <v>147</v>
      </c>
      <c r="AO1639" s="113" t="s">
        <v>1304</v>
      </c>
      <c r="AP1639" s="113" t="s">
        <v>1304</v>
      </c>
      <c r="AQ1639" s="113" t="s">
        <v>212</v>
      </c>
      <c r="AS1639" s="113">
        <v>2</v>
      </c>
      <c r="AT1639" s="113">
        <v>2</v>
      </c>
      <c r="AU1639" s="113" t="s">
        <v>169</v>
      </c>
      <c r="CW1639" s="113">
        <v>1E-3</v>
      </c>
      <c r="CX1639" s="113">
        <v>0</v>
      </c>
      <c r="CY1639" s="113" t="s">
        <v>1306</v>
      </c>
      <c r="CZ1639" s="113">
        <v>92</v>
      </c>
      <c r="DA1639" s="113">
        <v>15</v>
      </c>
      <c r="DB1639" s="113" t="s">
        <v>1305</v>
      </c>
      <c r="FT1639" s="113">
        <v>75</v>
      </c>
    </row>
    <row r="1640" spans="1:176" s="113" customFormat="1" x14ac:dyDescent="0.25">
      <c r="A1640" s="113">
        <v>75</v>
      </c>
      <c r="B1640" s="113" t="s">
        <v>1296</v>
      </c>
      <c r="C1640" s="113" t="s">
        <v>1297</v>
      </c>
      <c r="D1640" s="113">
        <v>1989</v>
      </c>
      <c r="E1640" s="113">
        <v>1986</v>
      </c>
      <c r="F1640" s="113" t="s">
        <v>498</v>
      </c>
      <c r="G1640" s="113" t="s">
        <v>1298</v>
      </c>
      <c r="H1640" s="113">
        <v>38.950000000000003</v>
      </c>
      <c r="I1640" s="113">
        <v>-91.94</v>
      </c>
      <c r="J1640" s="113">
        <v>251.9</v>
      </c>
      <c r="P1640" s="114">
        <v>2</v>
      </c>
      <c r="Q1640" s="114"/>
      <c r="R1640" s="114" t="s">
        <v>1302</v>
      </c>
      <c r="S1640" s="52" t="s">
        <v>1553</v>
      </c>
      <c r="T1640" s="52" t="s">
        <v>1553</v>
      </c>
      <c r="U1640" s="52" t="s">
        <v>1553</v>
      </c>
      <c r="V1640" s="52" t="s">
        <v>1553</v>
      </c>
      <c r="Z1640" s="113" t="s">
        <v>531</v>
      </c>
      <c r="AD1640" s="113" t="s">
        <v>1521</v>
      </c>
      <c r="AE1640" s="113" t="s">
        <v>1721</v>
      </c>
      <c r="AF1640" s="152" t="s">
        <v>1764</v>
      </c>
      <c r="AG1640" s="113" t="s">
        <v>190</v>
      </c>
      <c r="AH1640" s="159" t="s">
        <v>190</v>
      </c>
      <c r="AI1640" s="113" t="s">
        <v>147</v>
      </c>
      <c r="AO1640" s="113" t="s">
        <v>1304</v>
      </c>
      <c r="AP1640" s="113" t="s">
        <v>1304</v>
      </c>
      <c r="AQ1640" s="113" t="s">
        <v>212</v>
      </c>
      <c r="AS1640" s="113">
        <v>2</v>
      </c>
      <c r="AT1640" s="113">
        <v>2</v>
      </c>
      <c r="AU1640" s="113" t="s">
        <v>169</v>
      </c>
      <c r="CW1640" s="113">
        <v>562</v>
      </c>
      <c r="CX1640" s="113">
        <v>45</v>
      </c>
      <c r="CY1640" s="113" t="s">
        <v>1306</v>
      </c>
      <c r="CZ1640" s="113">
        <v>151</v>
      </c>
      <c r="DA1640" s="113">
        <v>52</v>
      </c>
      <c r="DB1640" s="113" t="s">
        <v>1305</v>
      </c>
      <c r="FT1640" s="113">
        <v>75</v>
      </c>
    </row>
    <row r="1641" spans="1:176" s="117" customFormat="1" x14ac:dyDescent="0.25">
      <c r="A1641" s="117">
        <v>75</v>
      </c>
      <c r="B1641" s="117" t="s">
        <v>1296</v>
      </c>
      <c r="C1641" s="117" t="s">
        <v>1297</v>
      </c>
      <c r="D1641" s="117">
        <v>1989</v>
      </c>
      <c r="E1641" s="117">
        <v>1986</v>
      </c>
      <c r="F1641" s="117" t="s">
        <v>498</v>
      </c>
      <c r="G1641" s="117" t="s">
        <v>1298</v>
      </c>
      <c r="H1641" s="117">
        <v>38.950000000000003</v>
      </c>
      <c r="I1641" s="117">
        <v>-91.94</v>
      </c>
      <c r="J1641" s="117">
        <v>251.9</v>
      </c>
      <c r="P1641" s="118">
        <v>2</v>
      </c>
      <c r="Q1641" s="118"/>
      <c r="R1641" s="118" t="s">
        <v>1303</v>
      </c>
      <c r="S1641" s="118" t="s">
        <v>1553</v>
      </c>
      <c r="T1641" s="118" t="s">
        <v>1553</v>
      </c>
      <c r="U1641" s="118" t="s">
        <v>1553</v>
      </c>
      <c r="V1641" s="118" t="s">
        <v>1553</v>
      </c>
      <c r="Z1641" s="117" t="s">
        <v>531</v>
      </c>
      <c r="AD1641" s="117" t="s">
        <v>1521</v>
      </c>
      <c r="AE1641" s="117" t="s">
        <v>1722</v>
      </c>
      <c r="AF1641" s="152" t="s">
        <v>1761</v>
      </c>
      <c r="AG1641" s="117" t="s">
        <v>190</v>
      </c>
      <c r="AH1641" s="159" t="s">
        <v>190</v>
      </c>
      <c r="AI1641" s="117" t="s">
        <v>147</v>
      </c>
      <c r="AO1641" s="117" t="s">
        <v>1304</v>
      </c>
      <c r="AP1641" s="117" t="s">
        <v>1304</v>
      </c>
      <c r="AQ1641" s="117" t="s">
        <v>212</v>
      </c>
      <c r="AS1641" s="117">
        <v>2</v>
      </c>
      <c r="AT1641" s="117">
        <v>2</v>
      </c>
      <c r="AU1641" s="117" t="s">
        <v>169</v>
      </c>
      <c r="CW1641" s="117">
        <v>562</v>
      </c>
      <c r="CX1641" s="117">
        <v>0</v>
      </c>
      <c r="CY1641" s="117" t="s">
        <v>1306</v>
      </c>
      <c r="CZ1641" s="117">
        <v>10</v>
      </c>
      <c r="DA1641" s="117">
        <v>0</v>
      </c>
      <c r="DB1641" s="117" t="s">
        <v>1305</v>
      </c>
      <c r="FT1641" s="117">
        <v>75</v>
      </c>
    </row>
    <row r="1642" spans="1:176" s="117" customFormat="1" x14ac:dyDescent="0.25">
      <c r="A1642" s="117">
        <v>75</v>
      </c>
      <c r="B1642" s="117" t="s">
        <v>1296</v>
      </c>
      <c r="C1642" s="117" t="s">
        <v>1297</v>
      </c>
      <c r="D1642" s="117">
        <v>1989</v>
      </c>
      <c r="E1642" s="117">
        <v>1986</v>
      </c>
      <c r="F1642" s="117" t="s">
        <v>498</v>
      </c>
      <c r="G1642" s="117" t="s">
        <v>1298</v>
      </c>
      <c r="H1642" s="117">
        <v>38.950000000000003</v>
      </c>
      <c r="I1642" s="117">
        <v>-91.94</v>
      </c>
      <c r="J1642" s="117">
        <v>251.9</v>
      </c>
      <c r="P1642" s="118">
        <v>2</v>
      </c>
      <c r="Q1642" s="118"/>
      <c r="R1642" s="118" t="s">
        <v>1299</v>
      </c>
      <c r="S1642" s="118" t="s">
        <v>1553</v>
      </c>
      <c r="T1642" s="118" t="s">
        <v>1553</v>
      </c>
      <c r="U1642" s="118" t="s">
        <v>1553</v>
      </c>
      <c r="V1642" s="118" t="s">
        <v>1553</v>
      </c>
      <c r="Z1642" s="117" t="s">
        <v>531</v>
      </c>
      <c r="AD1642" s="117" t="s">
        <v>1521</v>
      </c>
      <c r="AE1642" s="117" t="s">
        <v>1722</v>
      </c>
      <c r="AF1642" s="152" t="s">
        <v>1761</v>
      </c>
      <c r="AG1642" s="117" t="s">
        <v>190</v>
      </c>
      <c r="AH1642" s="159" t="s">
        <v>190</v>
      </c>
      <c r="AI1642" s="117" t="s">
        <v>147</v>
      </c>
      <c r="AO1642" s="117" t="s">
        <v>1304</v>
      </c>
      <c r="AP1642" s="117" t="s">
        <v>1304</v>
      </c>
      <c r="AQ1642" s="117" t="s">
        <v>212</v>
      </c>
      <c r="AS1642" s="117">
        <v>2</v>
      </c>
      <c r="AT1642" s="117">
        <v>2</v>
      </c>
      <c r="AU1642" s="117" t="s">
        <v>169</v>
      </c>
      <c r="CW1642" s="117">
        <v>1E-3</v>
      </c>
      <c r="CX1642" s="117">
        <v>0</v>
      </c>
      <c r="CY1642" s="117" t="s">
        <v>1306</v>
      </c>
      <c r="CZ1642" s="117">
        <v>1</v>
      </c>
      <c r="DA1642" s="117">
        <v>0</v>
      </c>
      <c r="DB1642" s="117" t="s">
        <v>1305</v>
      </c>
      <c r="FT1642" s="117">
        <v>75</v>
      </c>
    </row>
    <row r="1643" spans="1:176" s="117" customFormat="1" x14ac:dyDescent="0.25">
      <c r="A1643" s="117">
        <v>75</v>
      </c>
      <c r="B1643" s="117" t="s">
        <v>1296</v>
      </c>
      <c r="C1643" s="117" t="s">
        <v>1297</v>
      </c>
      <c r="D1643" s="117">
        <v>1989</v>
      </c>
      <c r="E1643" s="117">
        <v>1986</v>
      </c>
      <c r="F1643" s="117" t="s">
        <v>498</v>
      </c>
      <c r="G1643" s="117" t="s">
        <v>1298</v>
      </c>
      <c r="H1643" s="117">
        <v>38.950000000000003</v>
      </c>
      <c r="I1643" s="117">
        <v>-91.94</v>
      </c>
      <c r="J1643" s="117">
        <v>251.9</v>
      </c>
      <c r="P1643" s="118">
        <v>2</v>
      </c>
      <c r="Q1643" s="118"/>
      <c r="R1643" s="118" t="s">
        <v>1300</v>
      </c>
      <c r="S1643" s="118" t="s">
        <v>1553</v>
      </c>
      <c r="T1643" s="118" t="s">
        <v>1553</v>
      </c>
      <c r="U1643" s="118" t="s">
        <v>1553</v>
      </c>
      <c r="V1643" s="118" t="s">
        <v>1553</v>
      </c>
      <c r="Z1643" s="117" t="s">
        <v>531</v>
      </c>
      <c r="AD1643" s="117" t="s">
        <v>1521</v>
      </c>
      <c r="AE1643" s="117" t="s">
        <v>1722</v>
      </c>
      <c r="AF1643" s="152" t="s">
        <v>1761</v>
      </c>
      <c r="AG1643" s="117" t="s">
        <v>190</v>
      </c>
      <c r="AH1643" s="159" t="s">
        <v>190</v>
      </c>
      <c r="AI1643" s="117" t="s">
        <v>147</v>
      </c>
      <c r="AO1643" s="117" t="s">
        <v>1304</v>
      </c>
      <c r="AP1643" s="117" t="s">
        <v>1304</v>
      </c>
      <c r="AQ1643" s="117" t="s">
        <v>212</v>
      </c>
      <c r="AS1643" s="117">
        <v>2</v>
      </c>
      <c r="AT1643" s="117">
        <v>2</v>
      </c>
      <c r="AU1643" s="117" t="s">
        <v>169</v>
      </c>
      <c r="CW1643" s="117">
        <v>1E-3</v>
      </c>
      <c r="CX1643" s="117">
        <v>0</v>
      </c>
      <c r="CY1643" s="117" t="s">
        <v>1306</v>
      </c>
      <c r="CZ1643" s="117">
        <v>7</v>
      </c>
      <c r="DA1643" s="117">
        <v>0</v>
      </c>
      <c r="DB1643" s="117" t="s">
        <v>1305</v>
      </c>
      <c r="FT1643" s="117">
        <v>75</v>
      </c>
    </row>
    <row r="1644" spans="1:176" s="117" customFormat="1" x14ac:dyDescent="0.25">
      <c r="A1644" s="117">
        <v>75</v>
      </c>
      <c r="B1644" s="117" t="s">
        <v>1296</v>
      </c>
      <c r="C1644" s="117" t="s">
        <v>1297</v>
      </c>
      <c r="D1644" s="117">
        <v>1989</v>
      </c>
      <c r="E1644" s="117">
        <v>1986</v>
      </c>
      <c r="F1644" s="117" t="s">
        <v>498</v>
      </c>
      <c r="G1644" s="117" t="s">
        <v>1298</v>
      </c>
      <c r="H1644" s="117">
        <v>38.950000000000003</v>
      </c>
      <c r="I1644" s="117">
        <v>-91.94</v>
      </c>
      <c r="J1644" s="117">
        <v>251.9</v>
      </c>
      <c r="P1644" s="118">
        <v>2</v>
      </c>
      <c r="Q1644" s="118"/>
      <c r="R1644" s="118" t="s">
        <v>1301</v>
      </c>
      <c r="S1644" s="118" t="s">
        <v>1553</v>
      </c>
      <c r="T1644" s="118" t="s">
        <v>1553</v>
      </c>
      <c r="U1644" s="118" t="s">
        <v>1553</v>
      </c>
      <c r="V1644" s="118" t="s">
        <v>1553</v>
      </c>
      <c r="Z1644" s="117" t="s">
        <v>531</v>
      </c>
      <c r="AD1644" s="117" t="s">
        <v>1521</v>
      </c>
      <c r="AE1644" s="117" t="s">
        <v>1722</v>
      </c>
      <c r="AF1644" s="152" t="s">
        <v>1761</v>
      </c>
      <c r="AG1644" s="117" t="s">
        <v>190</v>
      </c>
      <c r="AH1644" s="159" t="s">
        <v>190</v>
      </c>
      <c r="AI1644" s="117" t="s">
        <v>147</v>
      </c>
      <c r="AO1644" s="117" t="s">
        <v>1304</v>
      </c>
      <c r="AP1644" s="117" t="s">
        <v>1304</v>
      </c>
      <c r="AQ1644" s="117" t="s">
        <v>212</v>
      </c>
      <c r="AS1644" s="117">
        <v>2</v>
      </c>
      <c r="AT1644" s="117">
        <v>2</v>
      </c>
      <c r="AU1644" s="117" t="s">
        <v>169</v>
      </c>
      <c r="CW1644" s="117">
        <v>1E-3</v>
      </c>
      <c r="CX1644" s="117">
        <v>0</v>
      </c>
      <c r="CY1644" s="117" t="s">
        <v>1306</v>
      </c>
      <c r="CZ1644" s="117">
        <v>92</v>
      </c>
      <c r="DA1644" s="117">
        <v>26</v>
      </c>
      <c r="DB1644" s="117" t="s">
        <v>1305</v>
      </c>
      <c r="FT1644" s="117">
        <v>75</v>
      </c>
    </row>
    <row r="1645" spans="1:176" s="117" customFormat="1" x14ac:dyDescent="0.25">
      <c r="A1645" s="117">
        <v>75</v>
      </c>
      <c r="B1645" s="117" t="s">
        <v>1296</v>
      </c>
      <c r="C1645" s="117" t="s">
        <v>1297</v>
      </c>
      <c r="D1645" s="117">
        <v>1989</v>
      </c>
      <c r="E1645" s="117">
        <v>1986</v>
      </c>
      <c r="F1645" s="117" t="s">
        <v>498</v>
      </c>
      <c r="G1645" s="117" t="s">
        <v>1298</v>
      </c>
      <c r="H1645" s="117">
        <v>38.950000000000003</v>
      </c>
      <c r="I1645" s="117">
        <v>-91.94</v>
      </c>
      <c r="J1645" s="117">
        <v>251.9</v>
      </c>
      <c r="P1645" s="118">
        <v>2</v>
      </c>
      <c r="Q1645" s="118"/>
      <c r="R1645" s="118" t="s">
        <v>1302</v>
      </c>
      <c r="S1645" s="118" t="s">
        <v>1553</v>
      </c>
      <c r="T1645" s="118" t="s">
        <v>1553</v>
      </c>
      <c r="U1645" s="118" t="s">
        <v>1553</v>
      </c>
      <c r="V1645" s="118" t="s">
        <v>1553</v>
      </c>
      <c r="Z1645" s="117" t="s">
        <v>531</v>
      </c>
      <c r="AD1645" s="117" t="s">
        <v>1521</v>
      </c>
      <c r="AE1645" s="117" t="s">
        <v>1722</v>
      </c>
      <c r="AF1645" s="152" t="s">
        <v>1761</v>
      </c>
      <c r="AG1645" s="117" t="s">
        <v>190</v>
      </c>
      <c r="AH1645" s="159" t="s">
        <v>190</v>
      </c>
      <c r="AI1645" s="117" t="s">
        <v>147</v>
      </c>
      <c r="AO1645" s="117" t="s">
        <v>1304</v>
      </c>
      <c r="AP1645" s="117" t="s">
        <v>1304</v>
      </c>
      <c r="AQ1645" s="117" t="s">
        <v>212</v>
      </c>
      <c r="AS1645" s="117">
        <v>2</v>
      </c>
      <c r="AT1645" s="117">
        <v>2</v>
      </c>
      <c r="AU1645" s="117" t="s">
        <v>169</v>
      </c>
      <c r="CW1645" s="117">
        <v>562</v>
      </c>
      <c r="CX1645" s="117">
        <v>0</v>
      </c>
      <c r="CY1645" s="117" t="s">
        <v>1306</v>
      </c>
      <c r="CZ1645" s="117">
        <v>151</v>
      </c>
      <c r="DA1645" s="117">
        <v>67</v>
      </c>
      <c r="DB1645" s="117" t="s">
        <v>1305</v>
      </c>
      <c r="FT1645" s="117">
        <v>75</v>
      </c>
    </row>
    <row r="1646" spans="1:176" s="113" customFormat="1" x14ac:dyDescent="0.25">
      <c r="A1646" s="113">
        <v>75</v>
      </c>
      <c r="B1646" s="113" t="s">
        <v>1296</v>
      </c>
      <c r="C1646" s="113" t="s">
        <v>1297</v>
      </c>
      <c r="D1646" s="113">
        <v>1989</v>
      </c>
      <c r="E1646" s="113">
        <v>1986</v>
      </c>
      <c r="F1646" s="113" t="s">
        <v>498</v>
      </c>
      <c r="G1646" s="113" t="s">
        <v>1298</v>
      </c>
      <c r="H1646" s="113">
        <v>38.950000000000003</v>
      </c>
      <c r="I1646" s="113">
        <v>-91.94</v>
      </c>
      <c r="J1646" s="113">
        <v>251.9</v>
      </c>
      <c r="P1646" s="114">
        <v>2</v>
      </c>
      <c r="Q1646" s="114"/>
      <c r="R1646" s="114" t="s">
        <v>1303</v>
      </c>
      <c r="S1646" s="114" t="s">
        <v>1553</v>
      </c>
      <c r="T1646" s="114" t="s">
        <v>1553</v>
      </c>
      <c r="U1646" s="114" t="s">
        <v>1553</v>
      </c>
      <c r="V1646" s="114" t="s">
        <v>1553</v>
      </c>
      <c r="Z1646" s="113" t="s">
        <v>531</v>
      </c>
      <c r="AD1646" s="113" t="s">
        <v>1521</v>
      </c>
      <c r="AE1646" s="113" t="s">
        <v>1723</v>
      </c>
      <c r="AF1646" s="152" t="s">
        <v>159</v>
      </c>
      <c r="AG1646" s="113" t="s">
        <v>190</v>
      </c>
      <c r="AH1646" s="159" t="s">
        <v>190</v>
      </c>
      <c r="AI1646" s="113" t="s">
        <v>147</v>
      </c>
      <c r="AO1646" s="113" t="s">
        <v>1304</v>
      </c>
      <c r="AP1646" s="113" t="s">
        <v>1304</v>
      </c>
      <c r="AQ1646" s="113" t="s">
        <v>212</v>
      </c>
      <c r="AS1646" s="113">
        <v>2</v>
      </c>
      <c r="AT1646" s="113">
        <v>2</v>
      </c>
      <c r="AU1646" s="113" t="s">
        <v>169</v>
      </c>
      <c r="CW1646" s="113">
        <v>562</v>
      </c>
      <c r="CX1646" s="113">
        <v>0</v>
      </c>
      <c r="CY1646" s="113" t="s">
        <v>1306</v>
      </c>
      <c r="CZ1646" s="113">
        <v>10</v>
      </c>
      <c r="DA1646" s="113">
        <v>0</v>
      </c>
      <c r="DB1646" s="113" t="s">
        <v>1305</v>
      </c>
      <c r="FT1646" s="113">
        <v>75</v>
      </c>
    </row>
    <row r="1647" spans="1:176" s="113" customFormat="1" x14ac:dyDescent="0.25">
      <c r="A1647" s="113">
        <v>75</v>
      </c>
      <c r="B1647" s="113" t="s">
        <v>1296</v>
      </c>
      <c r="C1647" s="113" t="s">
        <v>1297</v>
      </c>
      <c r="D1647" s="113">
        <v>1989</v>
      </c>
      <c r="E1647" s="113">
        <v>1986</v>
      </c>
      <c r="F1647" s="113" t="s">
        <v>498</v>
      </c>
      <c r="G1647" s="113" t="s">
        <v>1298</v>
      </c>
      <c r="H1647" s="113">
        <v>38.950000000000003</v>
      </c>
      <c r="I1647" s="113">
        <v>-91.94</v>
      </c>
      <c r="J1647" s="113">
        <v>251.9</v>
      </c>
      <c r="P1647" s="114">
        <v>2</v>
      </c>
      <c r="Q1647" s="114"/>
      <c r="R1647" s="114" t="s">
        <v>1299</v>
      </c>
      <c r="S1647" s="114" t="s">
        <v>1553</v>
      </c>
      <c r="T1647" s="114" t="s">
        <v>1553</v>
      </c>
      <c r="U1647" s="114" t="s">
        <v>1553</v>
      </c>
      <c r="V1647" s="114" t="s">
        <v>1553</v>
      </c>
      <c r="Z1647" s="113" t="s">
        <v>531</v>
      </c>
      <c r="AD1647" s="113" t="s">
        <v>1521</v>
      </c>
      <c r="AE1647" s="113" t="s">
        <v>1723</v>
      </c>
      <c r="AF1647" s="152" t="s">
        <v>159</v>
      </c>
      <c r="AG1647" s="113" t="s">
        <v>190</v>
      </c>
      <c r="AH1647" s="159" t="s">
        <v>190</v>
      </c>
      <c r="AI1647" s="113" t="s">
        <v>147</v>
      </c>
      <c r="AO1647" s="113" t="s">
        <v>1304</v>
      </c>
      <c r="AP1647" s="113" t="s">
        <v>1304</v>
      </c>
      <c r="AQ1647" s="113" t="s">
        <v>212</v>
      </c>
      <c r="AS1647" s="113">
        <v>2</v>
      </c>
      <c r="AT1647" s="113">
        <v>2</v>
      </c>
      <c r="AU1647" s="113" t="s">
        <v>169</v>
      </c>
      <c r="CW1647" s="113">
        <v>1E-3</v>
      </c>
      <c r="CX1647" s="113">
        <v>0</v>
      </c>
      <c r="CY1647" s="113" t="s">
        <v>1306</v>
      </c>
      <c r="CZ1647" s="113">
        <v>1</v>
      </c>
      <c r="DA1647" s="113">
        <v>0</v>
      </c>
      <c r="DB1647" s="113" t="s">
        <v>1305</v>
      </c>
      <c r="FT1647" s="113">
        <v>75</v>
      </c>
    </row>
    <row r="1648" spans="1:176" s="113" customFormat="1" x14ac:dyDescent="0.25">
      <c r="A1648" s="113">
        <v>75</v>
      </c>
      <c r="B1648" s="113" t="s">
        <v>1296</v>
      </c>
      <c r="C1648" s="113" t="s">
        <v>1297</v>
      </c>
      <c r="D1648" s="113">
        <v>1989</v>
      </c>
      <c r="E1648" s="113">
        <v>1986</v>
      </c>
      <c r="F1648" s="113" t="s">
        <v>498</v>
      </c>
      <c r="G1648" s="113" t="s">
        <v>1298</v>
      </c>
      <c r="H1648" s="113">
        <v>38.950000000000003</v>
      </c>
      <c r="I1648" s="113">
        <v>-91.94</v>
      </c>
      <c r="J1648" s="113">
        <v>251.9</v>
      </c>
      <c r="P1648" s="114">
        <v>2</v>
      </c>
      <c r="Q1648" s="114"/>
      <c r="R1648" s="114" t="s">
        <v>1300</v>
      </c>
      <c r="S1648" s="114" t="s">
        <v>1553</v>
      </c>
      <c r="T1648" s="114" t="s">
        <v>1553</v>
      </c>
      <c r="U1648" s="114" t="s">
        <v>1553</v>
      </c>
      <c r="V1648" s="114" t="s">
        <v>1553</v>
      </c>
      <c r="Z1648" s="113" t="s">
        <v>531</v>
      </c>
      <c r="AD1648" s="113" t="s">
        <v>1521</v>
      </c>
      <c r="AE1648" s="113" t="s">
        <v>1723</v>
      </c>
      <c r="AF1648" s="152" t="s">
        <v>159</v>
      </c>
      <c r="AG1648" s="113" t="s">
        <v>190</v>
      </c>
      <c r="AH1648" s="159" t="s">
        <v>190</v>
      </c>
      <c r="AI1648" s="113" t="s">
        <v>147</v>
      </c>
      <c r="AO1648" s="113" t="s">
        <v>1304</v>
      </c>
      <c r="AP1648" s="113" t="s">
        <v>1304</v>
      </c>
      <c r="AQ1648" s="113" t="s">
        <v>212</v>
      </c>
      <c r="AS1648" s="113">
        <v>2</v>
      </c>
      <c r="AT1648" s="113">
        <v>2</v>
      </c>
      <c r="AU1648" s="113" t="s">
        <v>169</v>
      </c>
      <c r="CW1648" s="113">
        <v>1E-3</v>
      </c>
      <c r="CX1648" s="113">
        <v>0</v>
      </c>
      <c r="CY1648" s="113" t="s">
        <v>1306</v>
      </c>
      <c r="CZ1648" s="113">
        <v>7</v>
      </c>
      <c r="DA1648" s="113">
        <v>0</v>
      </c>
      <c r="DB1648" s="113" t="s">
        <v>1305</v>
      </c>
      <c r="FT1648" s="113">
        <v>75</v>
      </c>
    </row>
    <row r="1649" spans="1:176" s="113" customFormat="1" x14ac:dyDescent="0.25">
      <c r="A1649" s="113">
        <v>75</v>
      </c>
      <c r="B1649" s="113" t="s">
        <v>1296</v>
      </c>
      <c r="C1649" s="113" t="s">
        <v>1297</v>
      </c>
      <c r="D1649" s="113">
        <v>1989</v>
      </c>
      <c r="E1649" s="113">
        <v>1986</v>
      </c>
      <c r="F1649" s="113" t="s">
        <v>498</v>
      </c>
      <c r="G1649" s="113" t="s">
        <v>1298</v>
      </c>
      <c r="H1649" s="113">
        <v>38.950000000000003</v>
      </c>
      <c r="I1649" s="113">
        <v>-91.94</v>
      </c>
      <c r="J1649" s="113">
        <v>251.9</v>
      </c>
      <c r="P1649" s="114">
        <v>2</v>
      </c>
      <c r="Q1649" s="114"/>
      <c r="R1649" s="114" t="s">
        <v>1301</v>
      </c>
      <c r="S1649" s="114" t="s">
        <v>1553</v>
      </c>
      <c r="T1649" s="114" t="s">
        <v>1553</v>
      </c>
      <c r="U1649" s="114" t="s">
        <v>1553</v>
      </c>
      <c r="V1649" s="114" t="s">
        <v>1553</v>
      </c>
      <c r="Z1649" s="113" t="s">
        <v>531</v>
      </c>
      <c r="AD1649" s="113" t="s">
        <v>1521</v>
      </c>
      <c r="AE1649" s="113" t="s">
        <v>1723</v>
      </c>
      <c r="AF1649" s="152" t="s">
        <v>159</v>
      </c>
      <c r="AG1649" s="113" t="s">
        <v>190</v>
      </c>
      <c r="AH1649" s="159" t="s">
        <v>190</v>
      </c>
      <c r="AI1649" s="113" t="s">
        <v>147</v>
      </c>
      <c r="AO1649" s="113" t="s">
        <v>1304</v>
      </c>
      <c r="AP1649" s="113" t="s">
        <v>1304</v>
      </c>
      <c r="AQ1649" s="113" t="s">
        <v>212</v>
      </c>
      <c r="AS1649" s="113">
        <v>2</v>
      </c>
      <c r="AT1649" s="113">
        <v>2</v>
      </c>
      <c r="AU1649" s="113" t="s">
        <v>169</v>
      </c>
      <c r="CW1649" s="113">
        <v>1E-3</v>
      </c>
      <c r="CX1649" s="113">
        <v>0</v>
      </c>
      <c r="CY1649" s="113" t="s">
        <v>1306</v>
      </c>
      <c r="CZ1649" s="113">
        <v>92</v>
      </c>
      <c r="DA1649" s="113">
        <v>15</v>
      </c>
      <c r="DB1649" s="113" t="s">
        <v>1305</v>
      </c>
      <c r="FT1649" s="113">
        <v>75</v>
      </c>
    </row>
    <row r="1650" spans="1:176" s="113" customFormat="1" x14ac:dyDescent="0.25">
      <c r="A1650" s="113">
        <v>75</v>
      </c>
      <c r="B1650" s="113" t="s">
        <v>1296</v>
      </c>
      <c r="C1650" s="113" t="s">
        <v>1297</v>
      </c>
      <c r="D1650" s="113">
        <v>1989</v>
      </c>
      <c r="E1650" s="113">
        <v>1986</v>
      </c>
      <c r="F1650" s="113" t="s">
        <v>498</v>
      </c>
      <c r="G1650" s="113" t="s">
        <v>1298</v>
      </c>
      <c r="H1650" s="113">
        <v>38.950000000000003</v>
      </c>
      <c r="I1650" s="113">
        <v>-91.94</v>
      </c>
      <c r="J1650" s="113">
        <v>251.9</v>
      </c>
      <c r="P1650" s="114">
        <v>2</v>
      </c>
      <c r="Q1650" s="114"/>
      <c r="R1650" s="114" t="s">
        <v>1302</v>
      </c>
      <c r="S1650" s="114" t="s">
        <v>1553</v>
      </c>
      <c r="T1650" s="114" t="s">
        <v>1553</v>
      </c>
      <c r="U1650" s="114" t="s">
        <v>1553</v>
      </c>
      <c r="V1650" s="114" t="s">
        <v>1553</v>
      </c>
      <c r="Z1650" s="113" t="s">
        <v>531</v>
      </c>
      <c r="AD1650" s="113" t="s">
        <v>1521</v>
      </c>
      <c r="AE1650" s="113" t="s">
        <v>1723</v>
      </c>
      <c r="AF1650" s="152" t="s">
        <v>159</v>
      </c>
      <c r="AG1650" s="113" t="s">
        <v>190</v>
      </c>
      <c r="AH1650" s="159" t="s">
        <v>190</v>
      </c>
      <c r="AI1650" s="113" t="s">
        <v>147</v>
      </c>
      <c r="AO1650" s="113" t="s">
        <v>1304</v>
      </c>
      <c r="AP1650" s="113" t="s">
        <v>1304</v>
      </c>
      <c r="AQ1650" s="113" t="s">
        <v>212</v>
      </c>
      <c r="AS1650" s="113">
        <v>2</v>
      </c>
      <c r="AT1650" s="113">
        <v>2</v>
      </c>
      <c r="AU1650" s="113" t="s">
        <v>169</v>
      </c>
      <c r="CW1650" s="113">
        <v>562</v>
      </c>
      <c r="CX1650" s="113">
        <v>0</v>
      </c>
      <c r="CY1650" s="113" t="s">
        <v>1306</v>
      </c>
      <c r="CZ1650" s="113">
        <v>151</v>
      </c>
      <c r="DA1650" s="113">
        <v>31</v>
      </c>
      <c r="DB1650" s="113" t="s">
        <v>1305</v>
      </c>
      <c r="FT1650" s="113">
        <v>75</v>
      </c>
    </row>
    <row r="1651" spans="1:176" s="26" customFormat="1" x14ac:dyDescent="0.25">
      <c r="A1651" s="26">
        <v>75</v>
      </c>
      <c r="B1651" s="26" t="s">
        <v>1296</v>
      </c>
      <c r="C1651" s="26" t="s">
        <v>1297</v>
      </c>
      <c r="D1651" s="26">
        <v>1989</v>
      </c>
      <c r="E1651" s="26">
        <v>1987</v>
      </c>
      <c r="F1651" s="26" t="s">
        <v>498</v>
      </c>
      <c r="G1651" s="26" t="s">
        <v>1298</v>
      </c>
      <c r="H1651" s="26">
        <v>38.950000000000003</v>
      </c>
      <c r="I1651" s="26">
        <v>-91.94</v>
      </c>
      <c r="J1651" s="26">
        <v>251.9</v>
      </c>
      <c r="P1651" s="52">
        <v>3</v>
      </c>
      <c r="Q1651" s="52"/>
      <c r="R1651" s="52" t="s">
        <v>1303</v>
      </c>
      <c r="S1651" s="52" t="s">
        <v>1553</v>
      </c>
      <c r="T1651" s="52" t="s">
        <v>1553</v>
      </c>
      <c r="U1651" s="52" t="s">
        <v>1553</v>
      </c>
      <c r="V1651" s="52" t="s">
        <v>1553</v>
      </c>
      <c r="Z1651" s="26" t="s">
        <v>531</v>
      </c>
      <c r="AD1651" s="26" t="s">
        <v>1521</v>
      </c>
      <c r="AE1651" s="26" t="s">
        <v>1721</v>
      </c>
      <c r="AF1651" s="152" t="s">
        <v>1764</v>
      </c>
      <c r="AG1651" s="26" t="s">
        <v>190</v>
      </c>
      <c r="AH1651" s="154" t="s">
        <v>190</v>
      </c>
      <c r="AI1651" s="26" t="s">
        <v>147</v>
      </c>
      <c r="AO1651" s="26" t="s">
        <v>1304</v>
      </c>
      <c r="AP1651" s="26" t="s">
        <v>1304</v>
      </c>
      <c r="AQ1651" s="26" t="s">
        <v>212</v>
      </c>
      <c r="AS1651" s="26">
        <v>2</v>
      </c>
      <c r="AT1651" s="26">
        <v>2</v>
      </c>
      <c r="AU1651" s="26" t="s">
        <v>169</v>
      </c>
      <c r="CW1651" s="26">
        <v>217</v>
      </c>
      <c r="CX1651" s="26">
        <v>0</v>
      </c>
      <c r="CY1651" s="26" t="s">
        <v>1306</v>
      </c>
      <c r="CZ1651" s="26">
        <v>2</v>
      </c>
      <c r="DA1651" s="26">
        <v>0</v>
      </c>
      <c r="DB1651" s="26" t="s">
        <v>1305</v>
      </c>
      <c r="FT1651" s="26">
        <v>75</v>
      </c>
    </row>
    <row r="1652" spans="1:176" s="26" customFormat="1" x14ac:dyDescent="0.25">
      <c r="A1652" s="26">
        <v>75</v>
      </c>
      <c r="B1652" s="26" t="s">
        <v>1296</v>
      </c>
      <c r="C1652" s="26" t="s">
        <v>1297</v>
      </c>
      <c r="D1652" s="26">
        <v>1989</v>
      </c>
      <c r="E1652" s="26">
        <v>1987</v>
      </c>
      <c r="F1652" s="26" t="s">
        <v>498</v>
      </c>
      <c r="G1652" s="26" t="s">
        <v>1298</v>
      </c>
      <c r="H1652" s="26">
        <v>38.950000000000003</v>
      </c>
      <c r="I1652" s="26">
        <v>-91.94</v>
      </c>
      <c r="J1652" s="26">
        <v>251.9</v>
      </c>
      <c r="P1652" s="52">
        <v>3</v>
      </c>
      <c r="Q1652" s="52"/>
      <c r="R1652" s="52" t="s">
        <v>1299</v>
      </c>
      <c r="S1652" s="52" t="s">
        <v>1553</v>
      </c>
      <c r="T1652" s="52" t="s">
        <v>1553</v>
      </c>
      <c r="U1652" s="52" t="s">
        <v>1553</v>
      </c>
      <c r="V1652" s="52" t="s">
        <v>1553</v>
      </c>
      <c r="Z1652" s="26" t="s">
        <v>531</v>
      </c>
      <c r="AD1652" s="26" t="s">
        <v>1521</v>
      </c>
      <c r="AE1652" s="26" t="s">
        <v>1721</v>
      </c>
      <c r="AF1652" s="152" t="s">
        <v>1764</v>
      </c>
      <c r="AG1652" s="26" t="s">
        <v>190</v>
      </c>
      <c r="AH1652" s="154" t="s">
        <v>190</v>
      </c>
      <c r="AI1652" s="26" t="s">
        <v>147</v>
      </c>
      <c r="AO1652" s="26" t="s">
        <v>1304</v>
      </c>
      <c r="AP1652" s="26" t="s">
        <v>1304</v>
      </c>
      <c r="AQ1652" s="26" t="s">
        <v>212</v>
      </c>
      <c r="AS1652" s="26">
        <v>2</v>
      </c>
      <c r="AT1652" s="26">
        <v>2</v>
      </c>
      <c r="AU1652" s="26" t="s">
        <v>169</v>
      </c>
      <c r="CW1652" s="26">
        <v>1317</v>
      </c>
      <c r="CX1652" s="26">
        <v>125</v>
      </c>
      <c r="CY1652" s="26" t="s">
        <v>1306</v>
      </c>
      <c r="CZ1652" s="26">
        <v>33</v>
      </c>
      <c r="DA1652" s="26">
        <v>8</v>
      </c>
      <c r="DB1652" s="26" t="s">
        <v>1305</v>
      </c>
      <c r="FT1652" s="26">
        <v>75</v>
      </c>
    </row>
    <row r="1653" spans="1:176" s="26" customFormat="1" x14ac:dyDescent="0.25">
      <c r="A1653" s="26">
        <v>75</v>
      </c>
      <c r="B1653" s="26" t="s">
        <v>1296</v>
      </c>
      <c r="C1653" s="26" t="s">
        <v>1297</v>
      </c>
      <c r="D1653" s="26">
        <v>1989</v>
      </c>
      <c r="E1653" s="26">
        <v>1987</v>
      </c>
      <c r="F1653" s="26" t="s">
        <v>498</v>
      </c>
      <c r="G1653" s="26" t="s">
        <v>1298</v>
      </c>
      <c r="H1653" s="26">
        <v>38.950000000000003</v>
      </c>
      <c r="I1653" s="26">
        <v>-91.94</v>
      </c>
      <c r="J1653" s="26">
        <v>251.9</v>
      </c>
      <c r="P1653" s="52">
        <v>3</v>
      </c>
      <c r="Q1653" s="52"/>
      <c r="R1653" s="52" t="s">
        <v>1300</v>
      </c>
      <c r="S1653" s="52" t="s">
        <v>1553</v>
      </c>
      <c r="T1653" s="52" t="s">
        <v>1553</v>
      </c>
      <c r="U1653" s="52" t="s">
        <v>1553</v>
      </c>
      <c r="V1653" s="52" t="s">
        <v>1553</v>
      </c>
      <c r="Z1653" s="26" t="s">
        <v>531</v>
      </c>
      <c r="AD1653" s="26" t="s">
        <v>1521</v>
      </c>
      <c r="AE1653" s="26" t="s">
        <v>1721</v>
      </c>
      <c r="AF1653" s="152" t="s">
        <v>1764</v>
      </c>
      <c r="AG1653" s="26" t="s">
        <v>190</v>
      </c>
      <c r="AH1653" s="154" t="s">
        <v>190</v>
      </c>
      <c r="AI1653" s="26" t="s">
        <v>147</v>
      </c>
      <c r="AO1653" s="26" t="s">
        <v>1304</v>
      </c>
      <c r="AP1653" s="26" t="s">
        <v>1304</v>
      </c>
      <c r="AQ1653" s="26" t="s">
        <v>212</v>
      </c>
      <c r="AS1653" s="26">
        <v>2</v>
      </c>
      <c r="AT1653" s="26">
        <v>2</v>
      </c>
      <c r="AU1653" s="26" t="s">
        <v>169</v>
      </c>
      <c r="CW1653" s="26">
        <v>0</v>
      </c>
      <c r="CX1653" s="26">
        <v>0</v>
      </c>
      <c r="CY1653" s="26" t="s">
        <v>1306</v>
      </c>
      <c r="CZ1653" s="26">
        <v>1E-3</v>
      </c>
      <c r="DA1653" s="26">
        <v>0</v>
      </c>
      <c r="DB1653" s="26" t="s">
        <v>1305</v>
      </c>
      <c r="FT1653" s="26">
        <v>75</v>
      </c>
    </row>
    <row r="1654" spans="1:176" s="26" customFormat="1" x14ac:dyDescent="0.25">
      <c r="A1654" s="26">
        <v>75</v>
      </c>
      <c r="B1654" s="26" t="s">
        <v>1296</v>
      </c>
      <c r="C1654" s="26" t="s">
        <v>1297</v>
      </c>
      <c r="D1654" s="26">
        <v>1989</v>
      </c>
      <c r="E1654" s="26">
        <v>1987</v>
      </c>
      <c r="F1654" s="26" t="s">
        <v>498</v>
      </c>
      <c r="G1654" s="26" t="s">
        <v>1298</v>
      </c>
      <c r="H1654" s="26">
        <v>38.950000000000003</v>
      </c>
      <c r="I1654" s="26">
        <v>-91.94</v>
      </c>
      <c r="J1654" s="26">
        <v>251.9</v>
      </c>
      <c r="P1654" s="52">
        <v>3</v>
      </c>
      <c r="Q1654" s="52"/>
      <c r="R1654" s="52" t="s">
        <v>1301</v>
      </c>
      <c r="S1654" s="52" t="s">
        <v>1553</v>
      </c>
      <c r="T1654" s="52" t="s">
        <v>1553</v>
      </c>
      <c r="U1654" s="52" t="s">
        <v>1553</v>
      </c>
      <c r="V1654" s="52" t="s">
        <v>1553</v>
      </c>
      <c r="Z1654" s="26" t="s">
        <v>531</v>
      </c>
      <c r="AD1654" s="26" t="s">
        <v>1521</v>
      </c>
      <c r="AE1654" s="26" t="s">
        <v>1721</v>
      </c>
      <c r="AF1654" s="152" t="s">
        <v>1764</v>
      </c>
      <c r="AG1654" s="26" t="s">
        <v>190</v>
      </c>
      <c r="AH1654" s="154" t="s">
        <v>190</v>
      </c>
      <c r="AI1654" s="26" t="s">
        <v>147</v>
      </c>
      <c r="AO1654" s="26" t="s">
        <v>1304</v>
      </c>
      <c r="AP1654" s="26" t="s">
        <v>1304</v>
      </c>
      <c r="AQ1654" s="26" t="s">
        <v>212</v>
      </c>
      <c r="AS1654" s="26">
        <v>2</v>
      </c>
      <c r="AT1654" s="26">
        <v>2</v>
      </c>
      <c r="AU1654" s="26" t="s">
        <v>169</v>
      </c>
      <c r="CW1654" s="26">
        <v>111</v>
      </c>
      <c r="CX1654" s="26">
        <v>52</v>
      </c>
      <c r="CY1654" s="26" t="s">
        <v>1306</v>
      </c>
      <c r="CZ1654" s="26">
        <v>57</v>
      </c>
      <c r="DA1654" s="26">
        <v>36</v>
      </c>
      <c r="DB1654" s="26" t="s">
        <v>1305</v>
      </c>
      <c r="FT1654" s="26">
        <v>75</v>
      </c>
    </row>
    <row r="1655" spans="1:176" s="26" customFormat="1" x14ac:dyDescent="0.25">
      <c r="A1655" s="26">
        <v>75</v>
      </c>
      <c r="B1655" s="26" t="s">
        <v>1296</v>
      </c>
      <c r="C1655" s="26" t="s">
        <v>1297</v>
      </c>
      <c r="D1655" s="26">
        <v>1989</v>
      </c>
      <c r="E1655" s="26">
        <v>1987</v>
      </c>
      <c r="F1655" s="26" t="s">
        <v>498</v>
      </c>
      <c r="G1655" s="26" t="s">
        <v>1298</v>
      </c>
      <c r="H1655" s="26">
        <v>38.950000000000003</v>
      </c>
      <c r="I1655" s="26">
        <v>-91.94</v>
      </c>
      <c r="J1655" s="26">
        <v>251.9</v>
      </c>
      <c r="P1655" s="52">
        <v>3</v>
      </c>
      <c r="Q1655" s="52"/>
      <c r="R1655" s="52" t="s">
        <v>1302</v>
      </c>
      <c r="S1655" s="52" t="s">
        <v>1553</v>
      </c>
      <c r="T1655" s="52" t="s">
        <v>1553</v>
      </c>
      <c r="U1655" s="52" t="s">
        <v>1553</v>
      </c>
      <c r="V1655" s="52" t="s">
        <v>1553</v>
      </c>
      <c r="Z1655" s="26" t="s">
        <v>531</v>
      </c>
      <c r="AD1655" s="26" t="s">
        <v>1521</v>
      </c>
      <c r="AE1655" s="26" t="s">
        <v>1721</v>
      </c>
      <c r="AF1655" s="152" t="s">
        <v>1764</v>
      </c>
      <c r="AG1655" s="26" t="s">
        <v>190</v>
      </c>
      <c r="AH1655" s="154" t="s">
        <v>190</v>
      </c>
      <c r="AI1655" s="26" t="s">
        <v>147</v>
      </c>
      <c r="AO1655" s="26" t="s">
        <v>1304</v>
      </c>
      <c r="AP1655" s="26" t="s">
        <v>1304</v>
      </c>
      <c r="AQ1655" s="26" t="s">
        <v>212</v>
      </c>
      <c r="AS1655" s="26">
        <v>2</v>
      </c>
      <c r="AT1655" s="26">
        <v>2</v>
      </c>
      <c r="AU1655" s="26" t="s">
        <v>169</v>
      </c>
      <c r="CW1655" s="26">
        <v>1534</v>
      </c>
      <c r="CX1655" s="26">
        <v>125</v>
      </c>
      <c r="CY1655" s="26" t="s">
        <v>1306</v>
      </c>
      <c r="CZ1655" s="26">
        <v>74</v>
      </c>
      <c r="DA1655" s="26">
        <v>34</v>
      </c>
      <c r="DB1655" s="26" t="s">
        <v>1305</v>
      </c>
      <c r="FT1655" s="26">
        <v>75</v>
      </c>
    </row>
    <row r="1656" spans="1:176" s="35" customFormat="1" x14ac:dyDescent="0.25">
      <c r="A1656" s="35">
        <v>75</v>
      </c>
      <c r="B1656" s="35" t="s">
        <v>1296</v>
      </c>
      <c r="C1656" s="35" t="s">
        <v>1297</v>
      </c>
      <c r="D1656" s="35">
        <v>1989</v>
      </c>
      <c r="E1656" s="35">
        <v>1987</v>
      </c>
      <c r="F1656" s="35" t="s">
        <v>498</v>
      </c>
      <c r="G1656" s="35" t="s">
        <v>1298</v>
      </c>
      <c r="H1656" s="35">
        <v>38.950000000000003</v>
      </c>
      <c r="I1656" s="35">
        <v>-91.94</v>
      </c>
      <c r="J1656" s="35">
        <v>251.9</v>
      </c>
      <c r="P1656" s="54">
        <v>3</v>
      </c>
      <c r="Q1656" s="54"/>
      <c r="R1656" s="54" t="s">
        <v>1303</v>
      </c>
      <c r="S1656" s="52" t="s">
        <v>1553</v>
      </c>
      <c r="T1656" s="52" t="s">
        <v>1553</v>
      </c>
      <c r="U1656" s="52" t="s">
        <v>1553</v>
      </c>
      <c r="V1656" s="52" t="s">
        <v>1553</v>
      </c>
      <c r="Z1656" s="35" t="s">
        <v>531</v>
      </c>
      <c r="AD1656" s="35" t="s">
        <v>1521</v>
      </c>
      <c r="AE1656" s="35" t="s">
        <v>1722</v>
      </c>
      <c r="AF1656" s="152" t="s">
        <v>1761</v>
      </c>
      <c r="AG1656" s="35" t="s">
        <v>190</v>
      </c>
      <c r="AH1656" s="154" t="s">
        <v>190</v>
      </c>
      <c r="AI1656" s="35" t="s">
        <v>147</v>
      </c>
      <c r="AO1656" s="35" t="s">
        <v>1304</v>
      </c>
      <c r="AP1656" s="35" t="s">
        <v>1304</v>
      </c>
      <c r="AQ1656" s="35" t="s">
        <v>212</v>
      </c>
      <c r="AS1656" s="35">
        <v>2</v>
      </c>
      <c r="AT1656" s="35">
        <v>2</v>
      </c>
      <c r="AU1656" s="35" t="s">
        <v>169</v>
      </c>
      <c r="CW1656" s="35">
        <v>217</v>
      </c>
      <c r="CX1656" s="35">
        <v>0</v>
      </c>
      <c r="CY1656" s="35" t="s">
        <v>1306</v>
      </c>
      <c r="CZ1656" s="35">
        <v>2</v>
      </c>
      <c r="DA1656" s="35">
        <v>0</v>
      </c>
      <c r="DB1656" s="35" t="s">
        <v>1305</v>
      </c>
      <c r="FT1656" s="35">
        <v>75</v>
      </c>
    </row>
    <row r="1657" spans="1:176" s="35" customFormat="1" x14ac:dyDescent="0.25">
      <c r="A1657" s="35">
        <v>75</v>
      </c>
      <c r="B1657" s="35" t="s">
        <v>1296</v>
      </c>
      <c r="C1657" s="35" t="s">
        <v>1297</v>
      </c>
      <c r="D1657" s="35">
        <v>1989</v>
      </c>
      <c r="E1657" s="35">
        <v>1987</v>
      </c>
      <c r="F1657" s="35" t="s">
        <v>498</v>
      </c>
      <c r="G1657" s="35" t="s">
        <v>1298</v>
      </c>
      <c r="H1657" s="35">
        <v>38.950000000000003</v>
      </c>
      <c r="I1657" s="35">
        <v>-91.94</v>
      </c>
      <c r="J1657" s="35">
        <v>251.9</v>
      </c>
      <c r="P1657" s="54">
        <v>3</v>
      </c>
      <c r="Q1657" s="54"/>
      <c r="R1657" s="54" t="s">
        <v>1299</v>
      </c>
      <c r="S1657" s="52" t="s">
        <v>1553</v>
      </c>
      <c r="T1657" s="52" t="s">
        <v>1553</v>
      </c>
      <c r="U1657" s="52" t="s">
        <v>1553</v>
      </c>
      <c r="V1657" s="52" t="s">
        <v>1553</v>
      </c>
      <c r="Z1657" s="35" t="s">
        <v>531</v>
      </c>
      <c r="AD1657" s="35" t="s">
        <v>1521</v>
      </c>
      <c r="AE1657" s="35" t="s">
        <v>1722</v>
      </c>
      <c r="AF1657" s="152" t="s">
        <v>1761</v>
      </c>
      <c r="AG1657" s="35" t="s">
        <v>190</v>
      </c>
      <c r="AH1657" s="154" t="s">
        <v>190</v>
      </c>
      <c r="AI1657" s="35" t="s">
        <v>147</v>
      </c>
      <c r="AO1657" s="35" t="s">
        <v>1304</v>
      </c>
      <c r="AP1657" s="35" t="s">
        <v>1304</v>
      </c>
      <c r="AQ1657" s="35" t="s">
        <v>212</v>
      </c>
      <c r="AS1657" s="35">
        <v>2</v>
      </c>
      <c r="AT1657" s="35">
        <v>2</v>
      </c>
      <c r="AU1657" s="35" t="s">
        <v>169</v>
      </c>
      <c r="CW1657" s="35">
        <v>1317</v>
      </c>
      <c r="CX1657" s="35">
        <v>0</v>
      </c>
      <c r="CY1657" s="35" t="s">
        <v>1306</v>
      </c>
      <c r="CZ1657" s="35">
        <v>33</v>
      </c>
      <c r="DA1657" s="35">
        <v>0</v>
      </c>
      <c r="DB1657" s="35" t="s">
        <v>1305</v>
      </c>
      <c r="FT1657" s="35">
        <v>75</v>
      </c>
    </row>
    <row r="1658" spans="1:176" s="35" customFormat="1" x14ac:dyDescent="0.25">
      <c r="A1658" s="35">
        <v>75</v>
      </c>
      <c r="B1658" s="35" t="s">
        <v>1296</v>
      </c>
      <c r="C1658" s="35" t="s">
        <v>1297</v>
      </c>
      <c r="D1658" s="35">
        <v>1989</v>
      </c>
      <c r="E1658" s="35">
        <v>1987</v>
      </c>
      <c r="F1658" s="35" t="s">
        <v>498</v>
      </c>
      <c r="G1658" s="35" t="s">
        <v>1298</v>
      </c>
      <c r="H1658" s="35">
        <v>38.950000000000003</v>
      </c>
      <c r="I1658" s="35">
        <v>-91.94</v>
      </c>
      <c r="J1658" s="35">
        <v>251.9</v>
      </c>
      <c r="P1658" s="54">
        <v>3</v>
      </c>
      <c r="Q1658" s="54"/>
      <c r="R1658" s="54" t="s">
        <v>1300</v>
      </c>
      <c r="S1658" s="52" t="s">
        <v>1553</v>
      </c>
      <c r="T1658" s="52" t="s">
        <v>1553</v>
      </c>
      <c r="U1658" s="52" t="s">
        <v>1553</v>
      </c>
      <c r="V1658" s="52" t="s">
        <v>1553</v>
      </c>
      <c r="Z1658" s="35" t="s">
        <v>531</v>
      </c>
      <c r="AD1658" s="35" t="s">
        <v>1521</v>
      </c>
      <c r="AE1658" s="35" t="s">
        <v>1722</v>
      </c>
      <c r="AF1658" s="152" t="s">
        <v>1761</v>
      </c>
      <c r="AG1658" s="35" t="s">
        <v>190</v>
      </c>
      <c r="AH1658" s="154" t="s">
        <v>190</v>
      </c>
      <c r="AI1658" s="35" t="s">
        <v>147</v>
      </c>
      <c r="AO1658" s="35" t="s">
        <v>1304</v>
      </c>
      <c r="AP1658" s="35" t="s">
        <v>1304</v>
      </c>
      <c r="AQ1658" s="35" t="s">
        <v>212</v>
      </c>
      <c r="AS1658" s="35">
        <v>2</v>
      </c>
      <c r="AT1658" s="35">
        <v>2</v>
      </c>
      <c r="AU1658" s="35" t="s">
        <v>169</v>
      </c>
      <c r="CW1658" s="35">
        <v>0</v>
      </c>
      <c r="CX1658" s="35">
        <v>0</v>
      </c>
      <c r="CY1658" s="35" t="s">
        <v>1306</v>
      </c>
      <c r="CZ1658" s="35">
        <v>1E-3</v>
      </c>
      <c r="DA1658" s="35">
        <v>0</v>
      </c>
      <c r="DB1658" s="35" t="s">
        <v>1305</v>
      </c>
      <c r="FT1658" s="35">
        <v>75</v>
      </c>
    </row>
    <row r="1659" spans="1:176" s="35" customFormat="1" x14ac:dyDescent="0.25">
      <c r="A1659" s="35">
        <v>75</v>
      </c>
      <c r="B1659" s="35" t="s">
        <v>1296</v>
      </c>
      <c r="C1659" s="35" t="s">
        <v>1297</v>
      </c>
      <c r="D1659" s="35">
        <v>1989</v>
      </c>
      <c r="E1659" s="35">
        <v>1987</v>
      </c>
      <c r="F1659" s="35" t="s">
        <v>498</v>
      </c>
      <c r="G1659" s="35" t="s">
        <v>1298</v>
      </c>
      <c r="H1659" s="35">
        <v>38.950000000000003</v>
      </c>
      <c r="I1659" s="35">
        <v>-91.94</v>
      </c>
      <c r="J1659" s="35">
        <v>251.9</v>
      </c>
      <c r="P1659" s="54">
        <v>3</v>
      </c>
      <c r="Q1659" s="54"/>
      <c r="R1659" s="54" t="s">
        <v>1301</v>
      </c>
      <c r="S1659" s="52" t="s">
        <v>1553</v>
      </c>
      <c r="T1659" s="52" t="s">
        <v>1553</v>
      </c>
      <c r="U1659" s="52" t="s">
        <v>1553</v>
      </c>
      <c r="V1659" s="52" t="s">
        <v>1553</v>
      </c>
      <c r="Z1659" s="35" t="s">
        <v>531</v>
      </c>
      <c r="AD1659" s="35" t="s">
        <v>1521</v>
      </c>
      <c r="AE1659" s="35" t="s">
        <v>1722</v>
      </c>
      <c r="AF1659" s="152" t="s">
        <v>1761</v>
      </c>
      <c r="AG1659" s="35" t="s">
        <v>190</v>
      </c>
      <c r="AH1659" s="154" t="s">
        <v>190</v>
      </c>
      <c r="AI1659" s="35" t="s">
        <v>147</v>
      </c>
      <c r="AO1659" s="35" t="s">
        <v>1304</v>
      </c>
      <c r="AP1659" s="35" t="s">
        <v>1304</v>
      </c>
      <c r="AQ1659" s="35" t="s">
        <v>212</v>
      </c>
      <c r="AS1659" s="35">
        <v>2</v>
      </c>
      <c r="AT1659" s="35">
        <v>2</v>
      </c>
      <c r="AU1659" s="35" t="s">
        <v>169</v>
      </c>
      <c r="CW1659" s="35">
        <v>111</v>
      </c>
      <c r="CX1659" s="35">
        <v>0</v>
      </c>
      <c r="CY1659" s="35" t="s">
        <v>1306</v>
      </c>
      <c r="CZ1659" s="35">
        <v>57</v>
      </c>
      <c r="DA1659" s="35">
        <v>20</v>
      </c>
      <c r="DB1659" s="35" t="s">
        <v>1305</v>
      </c>
      <c r="FT1659" s="35">
        <v>75</v>
      </c>
    </row>
    <row r="1660" spans="1:176" s="35" customFormat="1" x14ac:dyDescent="0.25">
      <c r="A1660" s="35">
        <v>75</v>
      </c>
      <c r="B1660" s="35" t="s">
        <v>1296</v>
      </c>
      <c r="C1660" s="35" t="s">
        <v>1297</v>
      </c>
      <c r="D1660" s="35">
        <v>1989</v>
      </c>
      <c r="E1660" s="35">
        <v>1987</v>
      </c>
      <c r="F1660" s="35" t="s">
        <v>498</v>
      </c>
      <c r="G1660" s="35" t="s">
        <v>1298</v>
      </c>
      <c r="H1660" s="35">
        <v>38.950000000000003</v>
      </c>
      <c r="I1660" s="35">
        <v>-91.94</v>
      </c>
      <c r="J1660" s="35">
        <v>251.9</v>
      </c>
      <c r="P1660" s="54">
        <v>3</v>
      </c>
      <c r="Q1660" s="54"/>
      <c r="R1660" s="54" t="s">
        <v>1302</v>
      </c>
      <c r="S1660" s="52" t="s">
        <v>1553</v>
      </c>
      <c r="T1660" s="52" t="s">
        <v>1553</v>
      </c>
      <c r="U1660" s="52" t="s">
        <v>1553</v>
      </c>
      <c r="V1660" s="52" t="s">
        <v>1553</v>
      </c>
      <c r="Z1660" s="35" t="s">
        <v>531</v>
      </c>
      <c r="AD1660" s="35" t="s">
        <v>1521</v>
      </c>
      <c r="AE1660" s="35" t="s">
        <v>1722</v>
      </c>
      <c r="AF1660" s="152" t="s">
        <v>1761</v>
      </c>
      <c r="AG1660" s="35" t="s">
        <v>190</v>
      </c>
      <c r="AH1660" s="154" t="s">
        <v>190</v>
      </c>
      <c r="AI1660" s="35" t="s">
        <v>147</v>
      </c>
      <c r="AO1660" s="35" t="s">
        <v>1304</v>
      </c>
      <c r="AP1660" s="35" t="s">
        <v>1304</v>
      </c>
      <c r="AQ1660" s="35" t="s">
        <v>212</v>
      </c>
      <c r="AS1660" s="35">
        <v>2</v>
      </c>
      <c r="AT1660" s="35">
        <v>2</v>
      </c>
      <c r="AU1660" s="35" t="s">
        <v>169</v>
      </c>
      <c r="CW1660" s="35">
        <v>1534</v>
      </c>
      <c r="CX1660" s="35">
        <v>0</v>
      </c>
      <c r="CY1660" s="35" t="s">
        <v>1306</v>
      </c>
      <c r="CZ1660" s="35">
        <v>74</v>
      </c>
      <c r="DA1660" s="35">
        <v>12</v>
      </c>
      <c r="DB1660" s="35" t="s">
        <v>1305</v>
      </c>
      <c r="FT1660" s="35">
        <v>75</v>
      </c>
    </row>
    <row r="1661" spans="1:176" s="26" customFormat="1" x14ac:dyDescent="0.25">
      <c r="A1661" s="26">
        <v>75</v>
      </c>
      <c r="B1661" s="26" t="s">
        <v>1296</v>
      </c>
      <c r="C1661" s="26" t="s">
        <v>1297</v>
      </c>
      <c r="D1661" s="26">
        <v>1989</v>
      </c>
      <c r="E1661" s="26">
        <v>1987</v>
      </c>
      <c r="F1661" s="26" t="s">
        <v>498</v>
      </c>
      <c r="G1661" s="26" t="s">
        <v>1298</v>
      </c>
      <c r="H1661" s="26">
        <v>38.950000000000003</v>
      </c>
      <c r="I1661" s="26">
        <v>-91.94</v>
      </c>
      <c r="J1661" s="26">
        <v>251.9</v>
      </c>
      <c r="P1661" s="52">
        <v>3</v>
      </c>
      <c r="Q1661" s="52"/>
      <c r="R1661" s="52" t="s">
        <v>1303</v>
      </c>
      <c r="S1661" s="52" t="s">
        <v>1553</v>
      </c>
      <c r="T1661" s="52" t="s">
        <v>1553</v>
      </c>
      <c r="U1661" s="52" t="s">
        <v>1553</v>
      </c>
      <c r="V1661" s="52" t="s">
        <v>1553</v>
      </c>
      <c r="Z1661" s="26" t="s">
        <v>531</v>
      </c>
      <c r="AD1661" s="26" t="s">
        <v>1521</v>
      </c>
      <c r="AE1661" s="26" t="s">
        <v>1723</v>
      </c>
      <c r="AF1661" s="152" t="s">
        <v>159</v>
      </c>
      <c r="AG1661" s="26" t="s">
        <v>190</v>
      </c>
      <c r="AH1661" s="154" t="s">
        <v>190</v>
      </c>
      <c r="AI1661" s="26" t="s">
        <v>147</v>
      </c>
      <c r="AO1661" s="26" t="s">
        <v>1304</v>
      </c>
      <c r="AP1661" s="26" t="s">
        <v>1304</v>
      </c>
      <c r="AQ1661" s="26" t="s">
        <v>212</v>
      </c>
      <c r="AS1661" s="26">
        <v>2</v>
      </c>
      <c r="AT1661" s="26">
        <v>2</v>
      </c>
      <c r="AU1661" s="26" t="s">
        <v>169</v>
      </c>
      <c r="CW1661" s="26">
        <v>217</v>
      </c>
      <c r="CX1661" s="26">
        <v>0</v>
      </c>
      <c r="CY1661" s="26" t="s">
        <v>1306</v>
      </c>
      <c r="CZ1661" s="26">
        <v>2</v>
      </c>
      <c r="DA1661" s="26">
        <v>0</v>
      </c>
      <c r="DB1661" s="26" t="s">
        <v>1305</v>
      </c>
      <c r="FT1661" s="26">
        <v>75</v>
      </c>
    </row>
    <row r="1662" spans="1:176" s="26" customFormat="1" x14ac:dyDescent="0.25">
      <c r="A1662" s="26">
        <v>75</v>
      </c>
      <c r="B1662" s="26" t="s">
        <v>1296</v>
      </c>
      <c r="C1662" s="26" t="s">
        <v>1297</v>
      </c>
      <c r="D1662" s="26">
        <v>1989</v>
      </c>
      <c r="E1662" s="26">
        <v>1987</v>
      </c>
      <c r="F1662" s="26" t="s">
        <v>498</v>
      </c>
      <c r="G1662" s="26" t="s">
        <v>1298</v>
      </c>
      <c r="H1662" s="26">
        <v>38.950000000000003</v>
      </c>
      <c r="I1662" s="26">
        <v>-91.94</v>
      </c>
      <c r="J1662" s="26">
        <v>251.9</v>
      </c>
      <c r="P1662" s="52">
        <v>3</v>
      </c>
      <c r="Q1662" s="52"/>
      <c r="R1662" s="52" t="s">
        <v>1299</v>
      </c>
      <c r="S1662" s="52" t="s">
        <v>1553</v>
      </c>
      <c r="T1662" s="52" t="s">
        <v>1553</v>
      </c>
      <c r="U1662" s="52" t="s">
        <v>1553</v>
      </c>
      <c r="V1662" s="52" t="s">
        <v>1553</v>
      </c>
      <c r="Z1662" s="26" t="s">
        <v>531</v>
      </c>
      <c r="AD1662" s="26" t="s">
        <v>1521</v>
      </c>
      <c r="AE1662" s="26" t="s">
        <v>1723</v>
      </c>
      <c r="AF1662" s="152" t="s">
        <v>159</v>
      </c>
      <c r="AG1662" s="26" t="s">
        <v>190</v>
      </c>
      <c r="AH1662" s="154" t="s">
        <v>190</v>
      </c>
      <c r="AI1662" s="26" t="s">
        <v>147</v>
      </c>
      <c r="AO1662" s="26" t="s">
        <v>1304</v>
      </c>
      <c r="AP1662" s="26" t="s">
        <v>1304</v>
      </c>
      <c r="AQ1662" s="26" t="s">
        <v>212</v>
      </c>
      <c r="AS1662" s="26">
        <v>2</v>
      </c>
      <c r="AT1662" s="26">
        <v>2</v>
      </c>
      <c r="AU1662" s="26" t="s">
        <v>169</v>
      </c>
      <c r="CW1662" s="26">
        <v>1317</v>
      </c>
      <c r="CX1662" s="26">
        <v>0</v>
      </c>
      <c r="CY1662" s="26" t="s">
        <v>1306</v>
      </c>
      <c r="CZ1662" s="26">
        <v>33</v>
      </c>
      <c r="DA1662" s="26">
        <v>0</v>
      </c>
      <c r="DB1662" s="26" t="s">
        <v>1305</v>
      </c>
      <c r="FT1662" s="26">
        <v>75</v>
      </c>
    </row>
    <row r="1663" spans="1:176" s="26" customFormat="1" x14ac:dyDescent="0.25">
      <c r="A1663" s="26">
        <v>75</v>
      </c>
      <c r="B1663" s="26" t="s">
        <v>1296</v>
      </c>
      <c r="C1663" s="26" t="s">
        <v>1297</v>
      </c>
      <c r="D1663" s="26">
        <v>1989</v>
      </c>
      <c r="E1663" s="26">
        <v>1987</v>
      </c>
      <c r="F1663" s="26" t="s">
        <v>498</v>
      </c>
      <c r="G1663" s="26" t="s">
        <v>1298</v>
      </c>
      <c r="H1663" s="26">
        <v>38.950000000000003</v>
      </c>
      <c r="I1663" s="26">
        <v>-91.94</v>
      </c>
      <c r="J1663" s="26">
        <v>251.9</v>
      </c>
      <c r="P1663" s="52">
        <v>3</v>
      </c>
      <c r="Q1663" s="52"/>
      <c r="R1663" s="52" t="s">
        <v>1300</v>
      </c>
      <c r="S1663" s="52" t="s">
        <v>1553</v>
      </c>
      <c r="T1663" s="52" t="s">
        <v>1553</v>
      </c>
      <c r="U1663" s="52" t="s">
        <v>1553</v>
      </c>
      <c r="V1663" s="52" t="s">
        <v>1553</v>
      </c>
      <c r="Z1663" s="26" t="s">
        <v>531</v>
      </c>
      <c r="AD1663" s="26" t="s">
        <v>1521</v>
      </c>
      <c r="AE1663" s="26" t="s">
        <v>1723</v>
      </c>
      <c r="AF1663" s="152" t="s">
        <v>159</v>
      </c>
      <c r="AG1663" s="26" t="s">
        <v>190</v>
      </c>
      <c r="AH1663" s="154" t="s">
        <v>190</v>
      </c>
      <c r="AI1663" s="26" t="s">
        <v>147</v>
      </c>
      <c r="AO1663" s="26" t="s">
        <v>1304</v>
      </c>
      <c r="AP1663" s="26" t="s">
        <v>1304</v>
      </c>
      <c r="AQ1663" s="26" t="s">
        <v>212</v>
      </c>
      <c r="AS1663" s="26">
        <v>2</v>
      </c>
      <c r="AT1663" s="26">
        <v>2</v>
      </c>
      <c r="AU1663" s="26" t="s">
        <v>169</v>
      </c>
      <c r="CW1663" s="26">
        <v>0</v>
      </c>
      <c r="CX1663" s="26">
        <v>0</v>
      </c>
      <c r="CY1663" s="26" t="s">
        <v>1306</v>
      </c>
      <c r="CZ1663" s="26">
        <v>1E-3</v>
      </c>
      <c r="DA1663" s="26">
        <v>0</v>
      </c>
      <c r="DB1663" s="26" t="s">
        <v>1305</v>
      </c>
      <c r="FT1663" s="26">
        <v>75</v>
      </c>
    </row>
    <row r="1664" spans="1:176" s="26" customFormat="1" x14ac:dyDescent="0.25">
      <c r="A1664" s="26">
        <v>75</v>
      </c>
      <c r="B1664" s="26" t="s">
        <v>1296</v>
      </c>
      <c r="C1664" s="26" t="s">
        <v>1297</v>
      </c>
      <c r="D1664" s="26">
        <v>1989</v>
      </c>
      <c r="E1664" s="26">
        <v>1987</v>
      </c>
      <c r="F1664" s="26" t="s">
        <v>498</v>
      </c>
      <c r="G1664" s="26" t="s">
        <v>1298</v>
      </c>
      <c r="H1664" s="26">
        <v>38.950000000000003</v>
      </c>
      <c r="I1664" s="26">
        <v>-91.94</v>
      </c>
      <c r="J1664" s="26">
        <v>251.9</v>
      </c>
      <c r="P1664" s="52">
        <v>3</v>
      </c>
      <c r="Q1664" s="52"/>
      <c r="R1664" s="52" t="s">
        <v>1301</v>
      </c>
      <c r="S1664" s="52" t="s">
        <v>1553</v>
      </c>
      <c r="T1664" s="52" t="s">
        <v>1553</v>
      </c>
      <c r="U1664" s="52" t="s">
        <v>1553</v>
      </c>
      <c r="V1664" s="52" t="s">
        <v>1553</v>
      </c>
      <c r="Z1664" s="26" t="s">
        <v>531</v>
      </c>
      <c r="AD1664" s="26" t="s">
        <v>1521</v>
      </c>
      <c r="AE1664" s="26" t="s">
        <v>1723</v>
      </c>
      <c r="AF1664" s="152" t="s">
        <v>159</v>
      </c>
      <c r="AG1664" s="26" t="s">
        <v>190</v>
      </c>
      <c r="AH1664" s="154" t="s">
        <v>190</v>
      </c>
      <c r="AI1664" s="26" t="s">
        <v>147</v>
      </c>
      <c r="AO1664" s="26" t="s">
        <v>1304</v>
      </c>
      <c r="AP1664" s="26" t="s">
        <v>1304</v>
      </c>
      <c r="AQ1664" s="26" t="s">
        <v>212</v>
      </c>
      <c r="AS1664" s="26">
        <v>2</v>
      </c>
      <c r="AT1664" s="26">
        <v>2</v>
      </c>
      <c r="AU1664" s="26" t="s">
        <v>169</v>
      </c>
      <c r="CW1664" s="26">
        <v>111</v>
      </c>
      <c r="CX1664" s="26">
        <v>0</v>
      </c>
      <c r="CY1664" s="26" t="s">
        <v>1306</v>
      </c>
      <c r="CZ1664" s="26">
        <v>57</v>
      </c>
      <c r="DA1664" s="26">
        <v>36</v>
      </c>
      <c r="DB1664" s="26" t="s">
        <v>1305</v>
      </c>
      <c r="FT1664" s="26">
        <v>75</v>
      </c>
    </row>
    <row r="1665" spans="1:176" s="26" customFormat="1" x14ac:dyDescent="0.25">
      <c r="A1665" s="26">
        <v>75</v>
      </c>
      <c r="B1665" s="26" t="s">
        <v>1296</v>
      </c>
      <c r="C1665" s="26" t="s">
        <v>1297</v>
      </c>
      <c r="D1665" s="26">
        <v>1989</v>
      </c>
      <c r="E1665" s="26">
        <v>1987</v>
      </c>
      <c r="F1665" s="26" t="s">
        <v>498</v>
      </c>
      <c r="G1665" s="26" t="s">
        <v>1298</v>
      </c>
      <c r="H1665" s="26">
        <v>38.950000000000003</v>
      </c>
      <c r="I1665" s="26">
        <v>-91.94</v>
      </c>
      <c r="J1665" s="26">
        <v>251.9</v>
      </c>
      <c r="P1665" s="52">
        <v>3</v>
      </c>
      <c r="Q1665" s="52"/>
      <c r="R1665" s="52" t="s">
        <v>1302</v>
      </c>
      <c r="S1665" s="52" t="s">
        <v>1553</v>
      </c>
      <c r="T1665" s="52" t="s">
        <v>1553</v>
      </c>
      <c r="U1665" s="52" t="s">
        <v>1553</v>
      </c>
      <c r="V1665" s="52" t="s">
        <v>1553</v>
      </c>
      <c r="Z1665" s="26" t="s">
        <v>531</v>
      </c>
      <c r="AD1665" s="26" t="s">
        <v>1521</v>
      </c>
      <c r="AE1665" s="26" t="s">
        <v>1723</v>
      </c>
      <c r="AF1665" s="152" t="s">
        <v>159</v>
      </c>
      <c r="AG1665" s="26" t="s">
        <v>190</v>
      </c>
      <c r="AH1665" s="154" t="s">
        <v>190</v>
      </c>
      <c r="AI1665" s="26" t="s">
        <v>147</v>
      </c>
      <c r="AO1665" s="26" t="s">
        <v>1304</v>
      </c>
      <c r="AP1665" s="26" t="s">
        <v>1304</v>
      </c>
      <c r="AQ1665" s="26" t="s">
        <v>212</v>
      </c>
      <c r="AS1665" s="26">
        <v>2</v>
      </c>
      <c r="AT1665" s="26">
        <v>2</v>
      </c>
      <c r="AU1665" s="26" t="s">
        <v>169</v>
      </c>
      <c r="CW1665" s="26">
        <v>1534</v>
      </c>
      <c r="CX1665" s="26">
        <v>0</v>
      </c>
      <c r="CY1665" s="26" t="s">
        <v>1306</v>
      </c>
      <c r="CZ1665" s="26">
        <v>74</v>
      </c>
      <c r="DA1665" s="26">
        <v>23</v>
      </c>
      <c r="DB1665" s="26" t="s">
        <v>1305</v>
      </c>
      <c r="FT1665" s="26">
        <v>75</v>
      </c>
    </row>
    <row r="1666" spans="1:176" s="31" customFormat="1" x14ac:dyDescent="0.25">
      <c r="A1666" s="31">
        <v>76</v>
      </c>
      <c r="B1666" s="31" t="s">
        <v>1597</v>
      </c>
      <c r="C1666" s="31" t="s">
        <v>1598</v>
      </c>
      <c r="D1666" s="31">
        <v>1992</v>
      </c>
      <c r="E1666" s="31">
        <v>1988</v>
      </c>
      <c r="F1666" s="31" t="s">
        <v>1599</v>
      </c>
      <c r="G1666" s="31" t="s">
        <v>1600</v>
      </c>
      <c r="H1666" s="31">
        <v>47.43</v>
      </c>
      <c r="I1666" s="31">
        <v>-69.92</v>
      </c>
      <c r="J1666" s="31">
        <v>160</v>
      </c>
      <c r="P1666" s="56">
        <v>1</v>
      </c>
      <c r="Q1666" s="56"/>
      <c r="R1666" s="56"/>
      <c r="S1666" s="56" t="s">
        <v>1556</v>
      </c>
      <c r="T1666" s="56" t="s">
        <v>1556</v>
      </c>
      <c r="U1666" s="56" t="s">
        <v>1558</v>
      </c>
      <c r="V1666" s="56" t="s">
        <v>1904</v>
      </c>
      <c r="X1666" s="31">
        <v>10</v>
      </c>
      <c r="Y1666" s="31">
        <v>30</v>
      </c>
      <c r="Z1666" s="31" t="s">
        <v>894</v>
      </c>
      <c r="AD1666" s="31" t="s">
        <v>1601</v>
      </c>
      <c r="AE1666" s="31" t="s">
        <v>1695</v>
      </c>
      <c r="AF1666" s="152" t="s">
        <v>666</v>
      </c>
      <c r="AG1666" s="31" t="s">
        <v>1205</v>
      </c>
      <c r="AH1666" s="155" t="s">
        <v>1797</v>
      </c>
      <c r="AI1666" s="31" t="s">
        <v>1256</v>
      </c>
      <c r="AJ1666" s="31" t="s">
        <v>1602</v>
      </c>
      <c r="AK1666" s="31" t="s">
        <v>587</v>
      </c>
      <c r="AR1666" s="31" t="s">
        <v>192</v>
      </c>
      <c r="AS1666" s="31">
        <v>4</v>
      </c>
      <c r="AT1666" s="31">
        <v>4</v>
      </c>
      <c r="AU1666" s="31" t="s">
        <v>379</v>
      </c>
      <c r="EG1666" s="31">
        <v>199</v>
      </c>
      <c r="EH1666" s="31">
        <v>230</v>
      </c>
      <c r="EI1666" s="31" t="s">
        <v>1891</v>
      </c>
      <c r="EM1666" s="31">
        <f>0.57*10000</f>
        <v>5699.9999999999991</v>
      </c>
      <c r="EN1666" s="31">
        <f>0.61*10000</f>
        <v>6100</v>
      </c>
      <c r="EO1666" s="31" t="s">
        <v>1603</v>
      </c>
      <c r="FH1666" s="31">
        <f>1.3*10000</f>
        <v>13000</v>
      </c>
      <c r="FI1666" s="31">
        <f>1.6*10000</f>
        <v>16000</v>
      </c>
      <c r="FR1666" s="31" t="s">
        <v>1604</v>
      </c>
      <c r="FT1666" s="31">
        <v>76</v>
      </c>
    </row>
    <row r="1667" spans="1:176" s="31" customFormat="1" x14ac:dyDescent="0.25">
      <c r="A1667" s="31">
        <v>76</v>
      </c>
      <c r="B1667" s="31" t="s">
        <v>1597</v>
      </c>
      <c r="C1667" s="31" t="s">
        <v>1598</v>
      </c>
      <c r="D1667" s="31">
        <v>1992</v>
      </c>
      <c r="E1667" s="31">
        <v>1988</v>
      </c>
      <c r="F1667" s="31" t="s">
        <v>1599</v>
      </c>
      <c r="G1667" s="31" t="s">
        <v>1600</v>
      </c>
      <c r="H1667" s="31">
        <v>47.43</v>
      </c>
      <c r="I1667" s="31">
        <v>-69.92</v>
      </c>
      <c r="J1667" s="31">
        <v>160</v>
      </c>
      <c r="P1667" s="56">
        <v>1</v>
      </c>
      <c r="Q1667" s="56"/>
      <c r="R1667" s="56"/>
      <c r="S1667" s="56" t="s">
        <v>1557</v>
      </c>
      <c r="T1667" s="56" t="s">
        <v>1556</v>
      </c>
      <c r="U1667" s="56" t="s">
        <v>1558</v>
      </c>
      <c r="V1667" s="56" t="s">
        <v>1904</v>
      </c>
      <c r="X1667" s="31">
        <v>10</v>
      </c>
      <c r="Y1667" s="31">
        <v>30</v>
      </c>
      <c r="Z1667" s="31" t="s">
        <v>894</v>
      </c>
      <c r="AD1667" s="31" t="s">
        <v>1601</v>
      </c>
      <c r="AE1667" s="31" t="s">
        <v>1695</v>
      </c>
      <c r="AF1667" s="152" t="s">
        <v>666</v>
      </c>
      <c r="AG1667" s="31" t="s">
        <v>1205</v>
      </c>
      <c r="AH1667" s="155" t="s">
        <v>1797</v>
      </c>
      <c r="AI1667" s="31" t="s">
        <v>1256</v>
      </c>
      <c r="AJ1667" s="31" t="s">
        <v>1602</v>
      </c>
      <c r="AK1667" s="31" t="s">
        <v>587</v>
      </c>
      <c r="AR1667" s="31" t="s">
        <v>192</v>
      </c>
      <c r="AS1667" s="31">
        <v>4</v>
      </c>
      <c r="AT1667" s="31">
        <v>4</v>
      </c>
      <c r="AU1667" s="31" t="s">
        <v>379</v>
      </c>
      <c r="EG1667" s="31">
        <v>214</v>
      </c>
      <c r="EH1667" s="31">
        <v>230</v>
      </c>
      <c r="EI1667" s="31" t="s">
        <v>1891</v>
      </c>
      <c r="EM1667" s="31">
        <f>0.58*10000</f>
        <v>5800</v>
      </c>
      <c r="EN1667" s="31">
        <f>0.62*10000</f>
        <v>6200</v>
      </c>
      <c r="EO1667" s="31" t="s">
        <v>1603</v>
      </c>
      <c r="FH1667" s="31">
        <f>1.4*10000</f>
        <v>14000</v>
      </c>
      <c r="FI1667" s="31">
        <f>1.6*10000</f>
        <v>16000</v>
      </c>
      <c r="FR1667" s="31" t="s">
        <v>1604</v>
      </c>
      <c r="FT1667" s="31">
        <v>76</v>
      </c>
    </row>
    <row r="1668" spans="1:176" s="24" customFormat="1" x14ac:dyDescent="0.25">
      <c r="A1668" s="24">
        <v>77</v>
      </c>
      <c r="B1668" s="24" t="s">
        <v>1606</v>
      </c>
      <c r="C1668" s="24" t="s">
        <v>1607</v>
      </c>
      <c r="D1668" s="24">
        <v>1993</v>
      </c>
      <c r="E1668" s="24">
        <v>1990</v>
      </c>
      <c r="F1668" s="24" t="s">
        <v>1608</v>
      </c>
      <c r="G1668" s="24" t="s">
        <v>1609</v>
      </c>
      <c r="H1668" s="24">
        <f>33+54/60</f>
        <v>33.9</v>
      </c>
      <c r="I1668" s="24">
        <f>-83-24/60</f>
        <v>-83.4</v>
      </c>
      <c r="J1668" s="24">
        <v>185.5</v>
      </c>
      <c r="P1668" s="55">
        <v>1</v>
      </c>
      <c r="Q1668" s="55"/>
      <c r="R1668" s="55"/>
      <c r="S1668" s="55" t="s">
        <v>1570</v>
      </c>
      <c r="T1668" s="55" t="s">
        <v>1570</v>
      </c>
      <c r="U1668" s="55" t="s">
        <v>1570</v>
      </c>
      <c r="V1668" s="55" t="s">
        <v>1910</v>
      </c>
      <c r="X1668" s="24">
        <f>100-(130+165+71+210+57+110+190)/7*0.1-Y1668</f>
        <v>69.01428571428572</v>
      </c>
      <c r="Y1668" s="24">
        <f>(260+120+127+149+150+210+220)/7*0.1</f>
        <v>17.657142857142858</v>
      </c>
      <c r="Z1668" s="24" t="s">
        <v>278</v>
      </c>
      <c r="AB1668" s="24">
        <f>(24.4+17.8+13+8.3+6.7+12.1+14)/7*0.1</f>
        <v>1.3757142857142857</v>
      </c>
      <c r="AD1668" s="24" t="s">
        <v>1610</v>
      </c>
      <c r="AE1668" s="24" t="s">
        <v>475</v>
      </c>
      <c r="AF1668" s="152" t="s">
        <v>666</v>
      </c>
      <c r="AG1668" s="24" t="s">
        <v>258</v>
      </c>
      <c r="AH1668" s="156" t="s">
        <v>258</v>
      </c>
      <c r="AI1668" s="24" t="s">
        <v>1256</v>
      </c>
      <c r="AJ1668" s="24" t="s">
        <v>1256</v>
      </c>
      <c r="AK1668" s="24" t="s">
        <v>1611</v>
      </c>
      <c r="AL1668" s="24" t="s">
        <v>572</v>
      </c>
      <c r="AM1668" s="24" t="s">
        <v>188</v>
      </c>
      <c r="AN1668" s="24" t="s">
        <v>587</v>
      </c>
      <c r="AR1668" s="24" t="s">
        <v>147</v>
      </c>
      <c r="AS1668" s="24">
        <v>3</v>
      </c>
      <c r="AT1668" s="24">
        <v>3</v>
      </c>
      <c r="BJ1668" s="24">
        <f>(9.4+10.2)/2*0.1</f>
        <v>0.98000000000000009</v>
      </c>
      <c r="BK1668" s="24">
        <f>13.2/10</f>
        <v>1.3199999999999998</v>
      </c>
      <c r="BL1668" s="24" t="s">
        <v>195</v>
      </c>
      <c r="CH1668" s="24">
        <f>(47+49)/2*10</f>
        <v>480</v>
      </c>
      <c r="CI1668" s="24">
        <f>64*10</f>
        <v>640</v>
      </c>
      <c r="CJ1668" s="24" t="s">
        <v>1864</v>
      </c>
      <c r="CQ1668" s="24">
        <f>(23.8+22.3)/2</f>
        <v>23.05</v>
      </c>
      <c r="CR1668" s="24">
        <v>46.3</v>
      </c>
      <c r="FT1668" s="24">
        <v>77</v>
      </c>
    </row>
    <row r="1669" spans="1:176" s="35" customFormat="1" x14ac:dyDescent="0.25">
      <c r="A1669" s="35">
        <v>78</v>
      </c>
      <c r="B1669" s="35" t="s">
        <v>1612</v>
      </c>
      <c r="C1669" s="35" t="s">
        <v>1613</v>
      </c>
      <c r="D1669" s="35">
        <v>2007</v>
      </c>
      <c r="E1669" s="35">
        <v>2005</v>
      </c>
      <c r="F1669" s="35" t="s">
        <v>498</v>
      </c>
      <c r="G1669" s="35" t="s">
        <v>613</v>
      </c>
      <c r="H1669" s="35">
        <f t="shared" ref="H1669:H1672" si="256">40+15/60</f>
        <v>40.25</v>
      </c>
      <c r="I1669" s="35">
        <v>-101.25</v>
      </c>
      <c r="J1669" s="35">
        <v>972</v>
      </c>
      <c r="P1669" s="54">
        <v>1</v>
      </c>
      <c r="Q1669" s="54"/>
      <c r="R1669" s="54"/>
      <c r="S1669" s="54" t="s">
        <v>1564</v>
      </c>
      <c r="T1669" s="54" t="s">
        <v>1564</v>
      </c>
      <c r="U1669" s="54" t="s">
        <v>1615</v>
      </c>
      <c r="V1669" s="54" t="s">
        <v>1907</v>
      </c>
      <c r="X1669" s="35">
        <v>20</v>
      </c>
      <c r="Y1669" s="35">
        <f>100-20-(22+28+32)/3</f>
        <v>52.666666666666671</v>
      </c>
      <c r="Z1669" s="35" t="s">
        <v>531</v>
      </c>
      <c r="AD1669" s="35" t="s">
        <v>1616</v>
      </c>
      <c r="AE1669" s="35" t="s">
        <v>614</v>
      </c>
      <c r="AF1669" s="152" t="s">
        <v>1761</v>
      </c>
      <c r="AG1669" s="35" t="s">
        <v>1707</v>
      </c>
      <c r="AH1669" s="154" t="s">
        <v>1804</v>
      </c>
      <c r="AI1669" s="35" t="s">
        <v>1810</v>
      </c>
      <c r="AJ1669" s="35" t="s">
        <v>1810</v>
      </c>
      <c r="AK1669" s="35" t="s">
        <v>212</v>
      </c>
      <c r="AR1669" s="35" t="s">
        <v>147</v>
      </c>
      <c r="AS1669" s="35">
        <v>3</v>
      </c>
      <c r="AT1669" s="35">
        <v>3</v>
      </c>
      <c r="AU1669" s="35" t="s">
        <v>169</v>
      </c>
      <c r="BG1669" s="35">
        <v>1.36</v>
      </c>
      <c r="BH1669" s="35">
        <v>1.4</v>
      </c>
      <c r="BJ1669" s="35">
        <v>0.82</v>
      </c>
      <c r="BK1669" s="35">
        <v>1.21</v>
      </c>
      <c r="BL1669" s="35" t="s">
        <v>195</v>
      </c>
      <c r="CH1669" s="35">
        <v>25.8</v>
      </c>
      <c r="CI1669" s="35">
        <v>32.4</v>
      </c>
      <c r="CJ1669" s="35" t="s">
        <v>1617</v>
      </c>
      <c r="CK1669" s="35">
        <v>23.3</v>
      </c>
      <c r="CL1669" s="35">
        <v>22.7</v>
      </c>
      <c r="CT1669" s="35">
        <v>2.33</v>
      </c>
      <c r="CU1669" s="35">
        <v>3.58</v>
      </c>
    </row>
    <row r="1670" spans="1:176" s="138" customFormat="1" x14ac:dyDescent="0.25">
      <c r="A1670" s="35">
        <v>78</v>
      </c>
      <c r="B1670" s="136" t="s">
        <v>1612</v>
      </c>
      <c r="C1670" s="136" t="s">
        <v>1613</v>
      </c>
      <c r="D1670" s="136">
        <v>2007</v>
      </c>
      <c r="E1670" s="136">
        <v>2005</v>
      </c>
      <c r="F1670" s="136" t="s">
        <v>498</v>
      </c>
      <c r="G1670" s="136" t="s">
        <v>613</v>
      </c>
      <c r="H1670" s="136">
        <f t="shared" si="256"/>
        <v>40.25</v>
      </c>
      <c r="I1670" s="136">
        <v>-101.25</v>
      </c>
      <c r="J1670" s="35">
        <v>972</v>
      </c>
      <c r="K1670" s="136"/>
      <c r="L1670" s="136"/>
      <c r="M1670" s="136"/>
      <c r="N1670" s="136"/>
      <c r="O1670" s="136"/>
      <c r="P1670" s="54">
        <v>1</v>
      </c>
      <c r="Q1670" s="137"/>
      <c r="R1670" s="137"/>
      <c r="S1670" s="137" t="s">
        <v>1568</v>
      </c>
      <c r="T1670" s="54" t="s">
        <v>1564</v>
      </c>
      <c r="U1670" s="54" t="s">
        <v>1615</v>
      </c>
      <c r="V1670" s="54" t="s">
        <v>1907</v>
      </c>
      <c r="W1670" s="136"/>
      <c r="X1670" s="35">
        <v>20</v>
      </c>
      <c r="Y1670" s="35">
        <f t="shared" ref="Y1670:Y1672" si="257">100-20-(22+28+32)/3</f>
        <v>52.666666666666671</v>
      </c>
      <c r="Z1670" s="136" t="s">
        <v>531</v>
      </c>
      <c r="AA1670" s="136"/>
      <c r="AB1670" s="136"/>
      <c r="AC1670" s="136"/>
      <c r="AD1670" s="35" t="s">
        <v>1616</v>
      </c>
      <c r="AE1670" s="35" t="s">
        <v>614</v>
      </c>
      <c r="AF1670" s="152" t="s">
        <v>1761</v>
      </c>
      <c r="AG1670" s="136" t="s">
        <v>1707</v>
      </c>
      <c r="AH1670" s="154" t="s">
        <v>1804</v>
      </c>
      <c r="AI1670" s="35" t="s">
        <v>1810</v>
      </c>
      <c r="AJ1670" s="35" t="s">
        <v>1810</v>
      </c>
      <c r="AK1670" s="35" t="s">
        <v>212</v>
      </c>
      <c r="AR1670" s="35" t="s">
        <v>147</v>
      </c>
      <c r="AS1670" s="35">
        <v>3</v>
      </c>
      <c r="AT1670" s="35">
        <v>3</v>
      </c>
      <c r="AU1670" s="35" t="s">
        <v>169</v>
      </c>
      <c r="BG1670" s="35">
        <v>1.36</v>
      </c>
      <c r="BH1670" s="35">
        <v>1.34</v>
      </c>
      <c r="BJ1670" s="138">
        <v>0.57999999999999996</v>
      </c>
      <c r="BK1670" s="138">
        <v>0.59</v>
      </c>
      <c r="BL1670" s="35" t="s">
        <v>195</v>
      </c>
      <c r="CH1670" s="138">
        <v>25.8</v>
      </c>
      <c r="CI1670" s="138">
        <v>30.2</v>
      </c>
      <c r="CJ1670" s="35" t="s">
        <v>1617</v>
      </c>
      <c r="CK1670" s="35">
        <v>23.2</v>
      </c>
      <c r="CL1670" s="35">
        <v>30.14</v>
      </c>
      <c r="CT1670" s="35">
        <v>2.4900000000000002</v>
      </c>
      <c r="CU1670" s="35">
        <v>2.06</v>
      </c>
      <c r="DI1670" s="35"/>
      <c r="DJ1670" s="35"/>
    </row>
    <row r="1671" spans="1:176" s="35" customFormat="1" x14ac:dyDescent="0.25">
      <c r="A1671" s="35">
        <v>78</v>
      </c>
      <c r="B1671" s="35" t="s">
        <v>1612</v>
      </c>
      <c r="C1671" s="35" t="s">
        <v>1613</v>
      </c>
      <c r="D1671" s="35">
        <v>2007</v>
      </c>
      <c r="E1671" s="35">
        <v>2005</v>
      </c>
      <c r="F1671" s="35" t="s">
        <v>498</v>
      </c>
      <c r="G1671" s="35" t="s">
        <v>613</v>
      </c>
      <c r="H1671" s="35">
        <f t="shared" si="256"/>
        <v>40.25</v>
      </c>
      <c r="I1671" s="35">
        <v>-101.25</v>
      </c>
      <c r="J1671" s="35">
        <v>972</v>
      </c>
      <c r="P1671" s="54">
        <v>1</v>
      </c>
      <c r="Q1671" s="54"/>
      <c r="R1671" s="54"/>
      <c r="S1671" s="54" t="s">
        <v>1569</v>
      </c>
      <c r="T1671" s="54" t="s">
        <v>1564</v>
      </c>
      <c r="U1671" s="54" t="s">
        <v>1615</v>
      </c>
      <c r="V1671" s="54" t="s">
        <v>1907</v>
      </c>
      <c r="X1671" s="35">
        <v>20</v>
      </c>
      <c r="Y1671" s="35">
        <f t="shared" si="257"/>
        <v>52.666666666666671</v>
      </c>
      <c r="Z1671" s="35" t="s">
        <v>531</v>
      </c>
      <c r="AD1671" s="35" t="s">
        <v>1616</v>
      </c>
      <c r="AE1671" s="35" t="s">
        <v>614</v>
      </c>
      <c r="AF1671" s="152" t="s">
        <v>1761</v>
      </c>
      <c r="AG1671" s="35" t="s">
        <v>1707</v>
      </c>
      <c r="AH1671" s="154" t="s">
        <v>1804</v>
      </c>
      <c r="AI1671" s="35" t="s">
        <v>1810</v>
      </c>
      <c r="AJ1671" s="35" t="s">
        <v>1810</v>
      </c>
      <c r="AK1671" s="35" t="s">
        <v>212</v>
      </c>
      <c r="AR1671" s="35" t="s">
        <v>147</v>
      </c>
      <c r="AS1671" s="35">
        <v>3</v>
      </c>
      <c r="AT1671" s="35">
        <v>3</v>
      </c>
      <c r="AU1671" s="35" t="s">
        <v>169</v>
      </c>
      <c r="BG1671" s="35">
        <v>1.23</v>
      </c>
      <c r="BH1671" s="35">
        <v>1.28</v>
      </c>
      <c r="BJ1671" s="35">
        <v>0.46</v>
      </c>
      <c r="BK1671" s="35">
        <v>0.61</v>
      </c>
      <c r="BL1671" s="35" t="s">
        <v>195</v>
      </c>
      <c r="CH1671" s="35">
        <v>83</v>
      </c>
      <c r="CI1671" s="35">
        <v>120.3</v>
      </c>
      <c r="CJ1671" s="35" t="s">
        <v>1617</v>
      </c>
      <c r="CK1671" s="35">
        <v>27.97</v>
      </c>
      <c r="CL1671" s="35">
        <v>29.7</v>
      </c>
      <c r="CT1671" s="35">
        <v>4.01</v>
      </c>
      <c r="CU1671" s="35">
        <v>3.36</v>
      </c>
    </row>
    <row r="1672" spans="1:176" s="35" customFormat="1" x14ac:dyDescent="0.25">
      <c r="A1672" s="35">
        <v>78</v>
      </c>
      <c r="B1672" s="35" t="s">
        <v>1612</v>
      </c>
      <c r="C1672" s="35" t="s">
        <v>1613</v>
      </c>
      <c r="D1672" s="35">
        <v>2007</v>
      </c>
      <c r="E1672" s="35">
        <v>2005</v>
      </c>
      <c r="F1672" s="35" t="s">
        <v>498</v>
      </c>
      <c r="G1672" s="35" t="s">
        <v>613</v>
      </c>
      <c r="H1672" s="35">
        <f t="shared" si="256"/>
        <v>40.25</v>
      </c>
      <c r="I1672" s="35">
        <v>-101.25</v>
      </c>
      <c r="J1672" s="35">
        <v>972</v>
      </c>
      <c r="P1672" s="54">
        <v>1</v>
      </c>
      <c r="Q1672" s="54"/>
      <c r="R1672" s="54"/>
      <c r="S1672" s="54" t="s">
        <v>1614</v>
      </c>
      <c r="T1672" s="54" t="s">
        <v>1564</v>
      </c>
      <c r="U1672" s="54" t="s">
        <v>1615</v>
      </c>
      <c r="V1672" s="54" t="s">
        <v>1907</v>
      </c>
      <c r="X1672" s="35">
        <v>20</v>
      </c>
      <c r="Y1672" s="35">
        <f t="shared" si="257"/>
        <v>52.666666666666671</v>
      </c>
      <c r="Z1672" s="35" t="s">
        <v>531</v>
      </c>
      <c r="AD1672" s="35" t="s">
        <v>1616</v>
      </c>
      <c r="AE1672" s="35" t="s">
        <v>614</v>
      </c>
      <c r="AF1672" s="152" t="s">
        <v>1761</v>
      </c>
      <c r="AG1672" s="35" t="s">
        <v>1707</v>
      </c>
      <c r="AH1672" s="154" t="s">
        <v>1804</v>
      </c>
      <c r="AI1672" s="35" t="s">
        <v>1810</v>
      </c>
      <c r="AJ1672" s="35" t="s">
        <v>1810</v>
      </c>
      <c r="AK1672" s="35" t="s">
        <v>212</v>
      </c>
      <c r="AR1672" s="35" t="s">
        <v>147</v>
      </c>
      <c r="AS1672" s="35">
        <v>3</v>
      </c>
      <c r="AT1672" s="35">
        <v>3</v>
      </c>
      <c r="AU1672" s="35" t="s">
        <v>169</v>
      </c>
      <c r="BG1672" s="35">
        <v>1.34</v>
      </c>
      <c r="BH1672" s="35">
        <v>1.27</v>
      </c>
      <c r="BJ1672" s="35">
        <v>0.6</v>
      </c>
      <c r="BK1672" s="35">
        <v>0.61</v>
      </c>
      <c r="BL1672" s="35" t="s">
        <v>195</v>
      </c>
      <c r="CH1672" s="35">
        <v>89.56</v>
      </c>
      <c r="CI1672" s="35">
        <v>142.31</v>
      </c>
      <c r="CJ1672" s="35" t="s">
        <v>1617</v>
      </c>
      <c r="CK1672" s="35">
        <v>25.8</v>
      </c>
      <c r="CL1672" s="35">
        <v>29.27</v>
      </c>
      <c r="CT1672" s="35">
        <v>2.93</v>
      </c>
      <c r="CU1672" s="35">
        <v>3.14</v>
      </c>
    </row>
    <row r="1673" spans="1:176" s="47" customFormat="1" x14ac:dyDescent="0.25">
      <c r="A1673" s="175">
        <v>79</v>
      </c>
      <c r="B1673" s="181" t="s">
        <v>1932</v>
      </c>
      <c r="C1673" s="176"/>
      <c r="D1673" s="181">
        <v>1998</v>
      </c>
      <c r="E1673" s="182">
        <v>1981</v>
      </c>
      <c r="F1673" s="176" t="s">
        <v>1933</v>
      </c>
      <c r="G1673" s="181" t="s">
        <v>1934</v>
      </c>
      <c r="H1673" s="177">
        <v>41.27</v>
      </c>
      <c r="I1673" s="177">
        <v>-77.349999999999994</v>
      </c>
      <c r="J1673" s="183">
        <v>549</v>
      </c>
      <c r="K1673" s="175"/>
      <c r="L1673" s="175"/>
      <c r="M1673" s="176"/>
      <c r="N1673" s="176"/>
      <c r="O1673" s="176"/>
      <c r="P1673" s="183">
        <v>1</v>
      </c>
      <c r="Q1673" s="178"/>
      <c r="R1673" s="178"/>
      <c r="S1673" s="176" t="s">
        <v>1565</v>
      </c>
      <c r="T1673" s="176" t="s">
        <v>1565</v>
      </c>
      <c r="U1673" s="176" t="s">
        <v>1565</v>
      </c>
      <c r="V1673" s="175">
        <v>30</v>
      </c>
      <c r="W1673" s="175">
        <v>1.5805100000000001</v>
      </c>
      <c r="X1673" s="177"/>
      <c r="Y1673" s="176"/>
      <c r="Z1673" s="176"/>
      <c r="AA1673" s="176"/>
      <c r="AB1673" s="176"/>
      <c r="AE1673" s="176" t="s">
        <v>666</v>
      </c>
      <c r="AF1673" s="180" t="s">
        <v>666</v>
      </c>
      <c r="AG1673" s="176" t="s">
        <v>1774</v>
      </c>
      <c r="AH1673" s="176" t="s">
        <v>1791</v>
      </c>
      <c r="AI1673" s="176" t="s">
        <v>1774</v>
      </c>
      <c r="AJ1673" s="176" t="s">
        <v>1774</v>
      </c>
      <c r="AK1673" s="176" t="s">
        <v>212</v>
      </c>
      <c r="AL1673" s="176"/>
      <c r="AM1673" s="176"/>
      <c r="AN1673" s="176"/>
      <c r="AO1673" s="176"/>
      <c r="AP1673" s="176"/>
      <c r="AQ1673" s="175"/>
      <c r="AR1673" s="176"/>
      <c r="AS1673" s="176"/>
      <c r="AT1673" s="176"/>
      <c r="AU1673" s="176"/>
      <c r="AV1673" s="176"/>
      <c r="AW1673" s="176"/>
      <c r="BG1673" s="184"/>
      <c r="BH1673" s="179"/>
      <c r="BI1673" s="184"/>
      <c r="BJ1673" s="184">
        <v>0.87060395618634967</v>
      </c>
      <c r="BK1673" s="184">
        <v>0.93260917981008684</v>
      </c>
    </row>
    <row r="1674" spans="1:176" s="47" customFormat="1" x14ac:dyDescent="0.25">
      <c r="A1674" s="175">
        <v>79</v>
      </c>
      <c r="B1674" s="181" t="s">
        <v>1932</v>
      </c>
      <c r="C1674" s="176"/>
      <c r="D1674" s="181">
        <v>1998</v>
      </c>
      <c r="E1674" s="182">
        <v>1995</v>
      </c>
      <c r="F1674" s="176" t="s">
        <v>1933</v>
      </c>
      <c r="G1674" s="181" t="s">
        <v>1934</v>
      </c>
      <c r="H1674" s="177">
        <v>41.27</v>
      </c>
      <c r="I1674" s="177">
        <v>-77.349999999999994</v>
      </c>
      <c r="J1674" s="183">
        <v>549</v>
      </c>
      <c r="K1674" s="175"/>
      <c r="L1674" s="175"/>
      <c r="M1674" s="176"/>
      <c r="N1674" s="176"/>
      <c r="O1674" s="176"/>
      <c r="P1674" s="183">
        <v>15</v>
      </c>
      <c r="Q1674" s="178"/>
      <c r="R1674" s="178"/>
      <c r="S1674" s="176" t="s">
        <v>1565</v>
      </c>
      <c r="T1674" s="176" t="s">
        <v>1565</v>
      </c>
      <c r="U1674" s="176" t="s">
        <v>1565</v>
      </c>
      <c r="V1674" s="175">
        <v>30</v>
      </c>
      <c r="W1674" s="175">
        <v>1.5805100000000001</v>
      </c>
      <c r="X1674" s="177"/>
      <c r="Y1674" s="176"/>
      <c r="Z1674" s="176"/>
      <c r="AA1674" s="176"/>
      <c r="AB1674" s="176"/>
      <c r="AE1674" s="176" t="s">
        <v>666</v>
      </c>
      <c r="AF1674" s="180" t="s">
        <v>666</v>
      </c>
      <c r="AG1674" s="176" t="s">
        <v>1774</v>
      </c>
      <c r="AH1674" s="176" t="s">
        <v>1791</v>
      </c>
      <c r="AI1674" s="176" t="s">
        <v>1774</v>
      </c>
      <c r="AJ1674" s="176" t="s">
        <v>1774</v>
      </c>
      <c r="AK1674" s="176" t="s">
        <v>212</v>
      </c>
      <c r="AL1674" s="176"/>
      <c r="AM1674" s="176"/>
      <c r="AN1674" s="176"/>
      <c r="AO1674" s="176"/>
      <c r="AP1674" s="176"/>
      <c r="AQ1674" s="175"/>
      <c r="AR1674" s="176"/>
      <c r="AS1674" s="176"/>
      <c r="AT1674" s="176"/>
      <c r="AU1674" s="176"/>
      <c r="AV1674" s="176"/>
      <c r="AW1674" s="176"/>
      <c r="BG1674" s="184"/>
      <c r="BH1674" s="179"/>
      <c r="BI1674" s="184"/>
      <c r="BJ1674" s="184">
        <v>0.91615881435889135</v>
      </c>
      <c r="BK1674" s="184">
        <v>1.0791861540226626</v>
      </c>
    </row>
    <row r="1675" spans="1:176" s="47" customFormat="1" x14ac:dyDescent="0.25">
      <c r="A1675" s="175">
        <v>79</v>
      </c>
      <c r="B1675" s="181" t="s">
        <v>1932</v>
      </c>
      <c r="C1675" s="176"/>
      <c r="D1675" s="181">
        <v>1998</v>
      </c>
      <c r="E1675" s="182">
        <v>1995</v>
      </c>
      <c r="F1675" s="176" t="s">
        <v>1933</v>
      </c>
      <c r="G1675" s="181" t="s">
        <v>1934</v>
      </c>
      <c r="H1675" s="177">
        <v>41.27</v>
      </c>
      <c r="I1675" s="177">
        <v>-77.349999999999994</v>
      </c>
      <c r="J1675" s="183">
        <v>549</v>
      </c>
      <c r="K1675" s="175"/>
      <c r="L1675" s="175"/>
      <c r="M1675" s="176"/>
      <c r="N1675" s="176"/>
      <c r="O1675" s="176"/>
      <c r="P1675" s="183">
        <v>7</v>
      </c>
      <c r="Q1675" s="178"/>
      <c r="R1675" s="178"/>
      <c r="S1675" s="176" t="s">
        <v>1565</v>
      </c>
      <c r="T1675" s="176" t="s">
        <v>1565</v>
      </c>
      <c r="U1675" s="176" t="s">
        <v>1565</v>
      </c>
      <c r="V1675" s="175">
        <v>30</v>
      </c>
      <c r="W1675" s="175">
        <v>1.5805100000000001</v>
      </c>
      <c r="X1675" s="177"/>
      <c r="Y1675" s="176"/>
      <c r="Z1675" s="176"/>
      <c r="AA1675" s="176"/>
      <c r="AB1675" s="176"/>
      <c r="AE1675" s="176" t="s">
        <v>666</v>
      </c>
      <c r="AF1675" s="180" t="s">
        <v>666</v>
      </c>
      <c r="AG1675" s="176" t="s">
        <v>1774</v>
      </c>
      <c r="AH1675" s="176" t="s">
        <v>1791</v>
      </c>
      <c r="AI1675" s="176" t="s">
        <v>1774</v>
      </c>
      <c r="AJ1675" s="176" t="s">
        <v>1774</v>
      </c>
      <c r="AK1675" s="176" t="s">
        <v>212</v>
      </c>
      <c r="AL1675" s="176"/>
      <c r="AM1675" s="176"/>
      <c r="AN1675" s="176"/>
      <c r="AO1675" s="176"/>
      <c r="AP1675" s="176"/>
      <c r="AQ1675" s="175"/>
      <c r="AR1675" s="176"/>
      <c r="AS1675" s="176"/>
      <c r="AT1675" s="176"/>
      <c r="AU1675" s="176"/>
      <c r="AV1675" s="176"/>
      <c r="AW1675" s="176"/>
      <c r="BA1675" s="47">
        <v>75</v>
      </c>
      <c r="BB1675" s="47">
        <v>68</v>
      </c>
      <c r="BC1675" s="47" t="s">
        <v>1935</v>
      </c>
      <c r="BG1675" s="184"/>
      <c r="BH1675" s="179"/>
      <c r="BI1675" s="184"/>
      <c r="BJ1675" s="184"/>
      <c r="BK1675" s="184"/>
      <c r="DC1675" s="47">
        <v>1092.5</v>
      </c>
      <c r="DD1675" s="47">
        <v>927.7</v>
      </c>
      <c r="DE1675" s="47" t="s">
        <v>1936</v>
      </c>
    </row>
    <row r="1676" spans="1:176" s="35" customFormat="1" x14ac:dyDescent="0.25">
      <c r="A1676" s="35">
        <v>80</v>
      </c>
      <c r="B1676" s="35" t="s">
        <v>1623</v>
      </c>
      <c r="C1676" s="35" t="s">
        <v>1624</v>
      </c>
      <c r="D1676" s="35">
        <v>1950</v>
      </c>
      <c r="E1676" s="35">
        <v>1943</v>
      </c>
      <c r="F1676" s="35" t="s">
        <v>342</v>
      </c>
      <c r="G1676" s="35" t="s">
        <v>1625</v>
      </c>
      <c r="H1676" s="35">
        <v>40.479999999999997</v>
      </c>
      <c r="I1676" s="35">
        <v>-74.44</v>
      </c>
      <c r="J1676" s="35">
        <v>40.5</v>
      </c>
      <c r="P1676" s="54">
        <v>5</v>
      </c>
      <c r="Q1676" s="54"/>
      <c r="R1676" s="54"/>
      <c r="S1676" s="54" t="s">
        <v>1553</v>
      </c>
      <c r="T1676" s="54" t="s">
        <v>1553</v>
      </c>
      <c r="U1676" s="54" t="s">
        <v>1553</v>
      </c>
      <c r="V1676" s="54" t="s">
        <v>1553</v>
      </c>
      <c r="Z1676" s="35" t="s">
        <v>1788</v>
      </c>
      <c r="AE1676" s="35" t="s">
        <v>159</v>
      </c>
      <c r="AF1676" s="152" t="s">
        <v>159</v>
      </c>
      <c r="AG1676" s="35" t="s">
        <v>1771</v>
      </c>
      <c r="AH1676" s="154" t="s">
        <v>1793</v>
      </c>
      <c r="AR1676" s="35" t="s">
        <v>192</v>
      </c>
      <c r="AS1676" s="35">
        <v>4</v>
      </c>
      <c r="AT1676" s="35">
        <v>4</v>
      </c>
      <c r="AU1676" s="35" t="s">
        <v>169</v>
      </c>
      <c r="AZ1676" s="35" t="s">
        <v>1014</v>
      </c>
      <c r="CW1676" s="35">
        <v>503.4</v>
      </c>
      <c r="CX1676" s="35">
        <v>53.84</v>
      </c>
      <c r="CZ1676" s="35">
        <v>9.34</v>
      </c>
      <c r="DA1676" s="35">
        <v>1.8</v>
      </c>
      <c r="DB1676" s="35" t="s">
        <v>1630</v>
      </c>
    </row>
    <row r="1677" spans="1:176" s="35" customFormat="1" x14ac:dyDescent="0.25">
      <c r="A1677" s="35">
        <v>80</v>
      </c>
      <c r="B1677" s="35" t="s">
        <v>1623</v>
      </c>
      <c r="C1677" s="35" t="s">
        <v>1624</v>
      </c>
      <c r="D1677" s="35">
        <v>1950</v>
      </c>
      <c r="E1677" s="35">
        <v>1943</v>
      </c>
      <c r="F1677" s="35" t="s">
        <v>342</v>
      </c>
      <c r="G1677" s="35" t="s">
        <v>1625</v>
      </c>
      <c r="H1677" s="35">
        <v>40.479999999999997</v>
      </c>
      <c r="I1677" s="35">
        <v>-74.44</v>
      </c>
      <c r="J1677" s="35">
        <v>40.5</v>
      </c>
      <c r="P1677" s="54">
        <v>5</v>
      </c>
      <c r="Q1677" s="54"/>
      <c r="R1677" s="54"/>
      <c r="S1677" s="54" t="s">
        <v>1553</v>
      </c>
      <c r="T1677" s="54" t="s">
        <v>1553</v>
      </c>
      <c r="U1677" s="54" t="s">
        <v>1553</v>
      </c>
      <c r="V1677" s="54" t="s">
        <v>1553</v>
      </c>
      <c r="Z1677" s="35" t="s">
        <v>1788</v>
      </c>
      <c r="AE1677" s="35" t="s">
        <v>159</v>
      </c>
      <c r="AF1677" s="152" t="s">
        <v>159</v>
      </c>
      <c r="AG1677" s="35" t="s">
        <v>1771</v>
      </c>
      <c r="AH1677" s="154" t="s">
        <v>1793</v>
      </c>
      <c r="AR1677" s="35" t="s">
        <v>192</v>
      </c>
      <c r="AS1677" s="35">
        <v>4</v>
      </c>
      <c r="AT1677" s="35">
        <v>4</v>
      </c>
      <c r="AU1677" s="35" t="s">
        <v>169</v>
      </c>
      <c r="AZ1677" s="35" t="s">
        <v>1131</v>
      </c>
      <c r="CW1677" s="35">
        <v>121.6</v>
      </c>
      <c r="CX1677" s="35">
        <v>39.74</v>
      </c>
      <c r="CZ1677" s="35">
        <v>10.23</v>
      </c>
      <c r="DA1677" s="35">
        <v>11.43</v>
      </c>
      <c r="DB1677" s="35" t="s">
        <v>1630</v>
      </c>
    </row>
    <row r="1678" spans="1:176" s="35" customFormat="1" x14ac:dyDescent="0.25">
      <c r="A1678" s="35">
        <v>80</v>
      </c>
      <c r="B1678" s="35" t="s">
        <v>1623</v>
      </c>
      <c r="C1678" s="35" t="s">
        <v>1624</v>
      </c>
      <c r="D1678" s="35">
        <v>1950</v>
      </c>
      <c r="E1678" s="35">
        <v>1943</v>
      </c>
      <c r="F1678" s="35" t="s">
        <v>342</v>
      </c>
      <c r="G1678" s="35" t="s">
        <v>1625</v>
      </c>
      <c r="H1678" s="35">
        <v>40.479999999999997</v>
      </c>
      <c r="I1678" s="35">
        <v>-74.44</v>
      </c>
      <c r="J1678" s="35">
        <v>40.5</v>
      </c>
      <c r="P1678" s="54">
        <v>5</v>
      </c>
      <c r="Q1678" s="54"/>
      <c r="R1678" s="54"/>
      <c r="S1678" s="54" t="s">
        <v>1553</v>
      </c>
      <c r="T1678" s="54" t="s">
        <v>1553</v>
      </c>
      <c r="U1678" s="54" t="s">
        <v>1553</v>
      </c>
      <c r="V1678" s="54" t="s">
        <v>1553</v>
      </c>
      <c r="Z1678" s="35" t="s">
        <v>1788</v>
      </c>
      <c r="AE1678" s="35" t="s">
        <v>159</v>
      </c>
      <c r="AF1678" s="152" t="s">
        <v>159</v>
      </c>
      <c r="AG1678" s="35" t="s">
        <v>1771</v>
      </c>
      <c r="AH1678" s="154" t="s">
        <v>1793</v>
      </c>
      <c r="AR1678" s="35" t="s">
        <v>192</v>
      </c>
      <c r="AS1678" s="35">
        <v>4</v>
      </c>
      <c r="AT1678" s="35">
        <v>4</v>
      </c>
      <c r="AU1678" s="35" t="s">
        <v>169</v>
      </c>
      <c r="AZ1678" s="35" t="s">
        <v>1132</v>
      </c>
      <c r="CW1678" s="35">
        <v>311.7</v>
      </c>
      <c r="CX1678" s="35">
        <v>39.21</v>
      </c>
      <c r="CZ1678" s="35">
        <v>4.49</v>
      </c>
      <c r="DA1678" s="35">
        <v>2.0699999999999998</v>
      </c>
      <c r="DB1678" s="35" t="s">
        <v>1630</v>
      </c>
    </row>
    <row r="1679" spans="1:176" s="35" customFormat="1" x14ac:dyDescent="0.25">
      <c r="A1679" s="35">
        <v>80</v>
      </c>
      <c r="B1679" s="35" t="s">
        <v>1623</v>
      </c>
      <c r="C1679" s="35" t="s">
        <v>1624</v>
      </c>
      <c r="D1679" s="35">
        <v>1950</v>
      </c>
      <c r="E1679" s="35">
        <v>1943</v>
      </c>
      <c r="F1679" s="35" t="s">
        <v>342</v>
      </c>
      <c r="G1679" s="35" t="s">
        <v>1625</v>
      </c>
      <c r="H1679" s="35">
        <v>40.479999999999997</v>
      </c>
      <c r="I1679" s="35">
        <v>-74.44</v>
      </c>
      <c r="J1679" s="35">
        <v>40.5</v>
      </c>
      <c r="P1679" s="54">
        <v>5</v>
      </c>
      <c r="Q1679" s="54"/>
      <c r="R1679" s="54"/>
      <c r="S1679" s="54" t="s">
        <v>1553</v>
      </c>
      <c r="T1679" s="54" t="s">
        <v>1553</v>
      </c>
      <c r="U1679" s="54" t="s">
        <v>1553</v>
      </c>
      <c r="V1679" s="54" t="s">
        <v>1553</v>
      </c>
      <c r="Z1679" s="35" t="s">
        <v>1788</v>
      </c>
      <c r="AE1679" s="35" t="s">
        <v>159</v>
      </c>
      <c r="AF1679" s="152" t="s">
        <v>159</v>
      </c>
      <c r="AG1679" s="35" t="s">
        <v>1771</v>
      </c>
      <c r="AH1679" s="154" t="s">
        <v>1793</v>
      </c>
      <c r="AR1679" s="35" t="s">
        <v>192</v>
      </c>
      <c r="AS1679" s="35">
        <v>4</v>
      </c>
      <c r="AT1679" s="35">
        <v>4</v>
      </c>
      <c r="AU1679" s="35" t="s">
        <v>169</v>
      </c>
      <c r="AZ1679" s="35" t="s">
        <v>878</v>
      </c>
      <c r="CW1679" s="35">
        <v>515.45000000000005</v>
      </c>
      <c r="CX1679" s="35">
        <v>38.659999999999997</v>
      </c>
      <c r="CZ1679" s="35">
        <v>3.88</v>
      </c>
      <c r="DA1679" s="35">
        <v>1.46</v>
      </c>
      <c r="DB1679" s="35" t="s">
        <v>1630</v>
      </c>
    </row>
    <row r="1680" spans="1:176" s="35" customFormat="1" x14ac:dyDescent="0.25">
      <c r="A1680" s="35">
        <v>80</v>
      </c>
      <c r="B1680" s="35" t="s">
        <v>1623</v>
      </c>
      <c r="C1680" s="35" t="s">
        <v>1624</v>
      </c>
      <c r="D1680" s="35">
        <v>1950</v>
      </c>
      <c r="E1680" s="35">
        <v>1943</v>
      </c>
      <c r="F1680" s="35" t="s">
        <v>342</v>
      </c>
      <c r="G1680" s="35" t="s">
        <v>1625</v>
      </c>
      <c r="H1680" s="35">
        <v>40.479999999999997</v>
      </c>
      <c r="I1680" s="35">
        <v>-74.44</v>
      </c>
      <c r="J1680" s="35">
        <v>40.5</v>
      </c>
      <c r="P1680" s="54">
        <v>5</v>
      </c>
      <c r="Q1680" s="54"/>
      <c r="R1680" s="54"/>
      <c r="S1680" s="54" t="s">
        <v>1553</v>
      </c>
      <c r="T1680" s="54" t="s">
        <v>1553</v>
      </c>
      <c r="U1680" s="54" t="s">
        <v>1553</v>
      </c>
      <c r="V1680" s="54" t="s">
        <v>1553</v>
      </c>
      <c r="Z1680" s="35" t="s">
        <v>1788</v>
      </c>
      <c r="AE1680" s="35" t="s">
        <v>159</v>
      </c>
      <c r="AF1680" s="152" t="s">
        <v>159</v>
      </c>
      <c r="AG1680" s="35" t="s">
        <v>1771</v>
      </c>
      <c r="AH1680" s="154" t="s">
        <v>1793</v>
      </c>
      <c r="AR1680" s="35" t="s">
        <v>192</v>
      </c>
      <c r="AS1680" s="35">
        <v>4</v>
      </c>
      <c r="AT1680" s="35">
        <v>4</v>
      </c>
      <c r="AU1680" s="35" t="s">
        <v>169</v>
      </c>
      <c r="AZ1680" s="35" t="s">
        <v>239</v>
      </c>
      <c r="CW1680" s="35">
        <v>474.09</v>
      </c>
      <c r="CX1680" s="35">
        <v>147.1</v>
      </c>
      <c r="CZ1680" s="35">
        <v>4.47</v>
      </c>
      <c r="DA1680" s="35">
        <v>2.0499999999999998</v>
      </c>
      <c r="DB1680" s="35" t="s">
        <v>1630</v>
      </c>
    </row>
    <row r="1681" spans="1:142" s="35" customFormat="1" x14ac:dyDescent="0.25">
      <c r="A1681" s="35">
        <v>80</v>
      </c>
      <c r="B1681" s="35" t="s">
        <v>1623</v>
      </c>
      <c r="C1681" s="35" t="s">
        <v>1624</v>
      </c>
      <c r="D1681" s="35">
        <v>1950</v>
      </c>
      <c r="E1681" s="35">
        <v>1943</v>
      </c>
      <c r="F1681" s="35" t="s">
        <v>342</v>
      </c>
      <c r="G1681" s="35" t="s">
        <v>1625</v>
      </c>
      <c r="H1681" s="35">
        <v>40.479999999999997</v>
      </c>
      <c r="I1681" s="35">
        <v>-74.44</v>
      </c>
      <c r="J1681" s="35">
        <v>40.5</v>
      </c>
      <c r="P1681" s="54">
        <v>5</v>
      </c>
      <c r="Q1681" s="54"/>
      <c r="R1681" s="54"/>
      <c r="S1681" s="54" t="s">
        <v>1553</v>
      </c>
      <c r="T1681" s="54" t="s">
        <v>1553</v>
      </c>
      <c r="U1681" s="54" t="s">
        <v>1553</v>
      </c>
      <c r="V1681" s="54" t="s">
        <v>1553</v>
      </c>
      <c r="Z1681" s="35" t="s">
        <v>1788</v>
      </c>
      <c r="AE1681" s="35" t="s">
        <v>159</v>
      </c>
      <c r="AF1681" s="152" t="s">
        <v>159</v>
      </c>
      <c r="AG1681" s="35" t="s">
        <v>1771</v>
      </c>
      <c r="AH1681" s="154" t="s">
        <v>1793</v>
      </c>
      <c r="AR1681" s="35" t="s">
        <v>192</v>
      </c>
      <c r="AS1681" s="35">
        <v>4</v>
      </c>
      <c r="AT1681" s="35">
        <v>4</v>
      </c>
      <c r="AU1681" s="35" t="s">
        <v>169</v>
      </c>
      <c r="AZ1681" s="35" t="s">
        <v>1015</v>
      </c>
      <c r="CW1681" s="35">
        <v>1467.26</v>
      </c>
      <c r="CX1681" s="35">
        <v>813.8</v>
      </c>
      <c r="CZ1681" s="35">
        <v>12.29</v>
      </c>
      <c r="DA1681" s="35">
        <v>7.16</v>
      </c>
      <c r="DB1681" s="35" t="s">
        <v>1630</v>
      </c>
    </row>
    <row r="1682" spans="1:142" s="35" customFormat="1" x14ac:dyDescent="0.25">
      <c r="A1682" s="35">
        <v>80</v>
      </c>
      <c r="B1682" s="35" t="s">
        <v>1623</v>
      </c>
      <c r="C1682" s="35" t="s">
        <v>1624</v>
      </c>
      <c r="D1682" s="35">
        <v>1950</v>
      </c>
      <c r="E1682" s="35">
        <v>1943</v>
      </c>
      <c r="F1682" s="35" t="s">
        <v>342</v>
      </c>
      <c r="G1682" s="35" t="s">
        <v>1625</v>
      </c>
      <c r="H1682" s="35">
        <v>40.479999999999997</v>
      </c>
      <c r="I1682" s="35">
        <v>-74.44</v>
      </c>
      <c r="J1682" s="35">
        <v>40.5</v>
      </c>
      <c r="P1682" s="54">
        <v>5</v>
      </c>
      <c r="Q1682" s="54"/>
      <c r="R1682" s="54"/>
      <c r="S1682" s="54" t="s">
        <v>1553</v>
      </c>
      <c r="T1682" s="54" t="s">
        <v>1553</v>
      </c>
      <c r="U1682" s="54" t="s">
        <v>1553</v>
      </c>
      <c r="V1682" s="54" t="s">
        <v>1553</v>
      </c>
      <c r="Z1682" s="35" t="s">
        <v>1788</v>
      </c>
      <c r="AE1682" s="35" t="s">
        <v>159</v>
      </c>
      <c r="AF1682" s="152" t="s">
        <v>159</v>
      </c>
      <c r="AG1682" s="35" t="s">
        <v>1771</v>
      </c>
      <c r="AH1682" s="154" t="s">
        <v>1793</v>
      </c>
      <c r="AR1682" s="35" t="s">
        <v>192</v>
      </c>
      <c r="AS1682" s="35">
        <v>4</v>
      </c>
      <c r="AT1682" s="35">
        <v>4</v>
      </c>
      <c r="AU1682" s="35" t="s">
        <v>169</v>
      </c>
      <c r="AZ1682" s="35" t="s">
        <v>1225</v>
      </c>
      <c r="CW1682" s="35">
        <v>2147.9499999999998</v>
      </c>
      <c r="CX1682" s="35">
        <v>1112.9000000000001</v>
      </c>
      <c r="CZ1682" s="35">
        <v>28.26</v>
      </c>
      <c r="DA1682" s="35">
        <v>21.62</v>
      </c>
      <c r="DB1682" s="35" t="s">
        <v>1630</v>
      </c>
    </row>
    <row r="1683" spans="1:142" s="35" customFormat="1" x14ac:dyDescent="0.25">
      <c r="A1683" s="35">
        <v>80</v>
      </c>
      <c r="B1683" s="35" t="s">
        <v>1623</v>
      </c>
      <c r="C1683" s="35" t="s">
        <v>1624</v>
      </c>
      <c r="D1683" s="35">
        <v>1950</v>
      </c>
      <c r="E1683" s="35">
        <v>1943</v>
      </c>
      <c r="F1683" s="35" t="s">
        <v>342</v>
      </c>
      <c r="G1683" s="35" t="s">
        <v>1625</v>
      </c>
      <c r="H1683" s="35">
        <v>40.479999999999997</v>
      </c>
      <c r="I1683" s="35">
        <v>-74.44</v>
      </c>
      <c r="J1683" s="35">
        <v>40.5</v>
      </c>
      <c r="P1683" s="54">
        <v>5</v>
      </c>
      <c r="Q1683" s="54"/>
      <c r="R1683" s="54"/>
      <c r="S1683" s="54" t="s">
        <v>1553</v>
      </c>
      <c r="T1683" s="54" t="s">
        <v>1553</v>
      </c>
      <c r="U1683" s="54" t="s">
        <v>1553</v>
      </c>
      <c r="V1683" s="54" t="s">
        <v>1553</v>
      </c>
      <c r="Z1683" s="35" t="s">
        <v>1788</v>
      </c>
      <c r="AE1683" s="35" t="s">
        <v>159</v>
      </c>
      <c r="AF1683" s="152" t="s">
        <v>159</v>
      </c>
      <c r="AG1683" s="35" t="s">
        <v>1771</v>
      </c>
      <c r="AH1683" s="154" t="s">
        <v>1793</v>
      </c>
      <c r="AR1683" s="35" t="s">
        <v>192</v>
      </c>
      <c r="AS1683" s="35">
        <v>4</v>
      </c>
      <c r="AT1683" s="35">
        <v>4</v>
      </c>
      <c r="AU1683" s="35" t="s">
        <v>169</v>
      </c>
      <c r="AZ1683" s="35" t="s">
        <v>1018</v>
      </c>
      <c r="CW1683" s="35">
        <v>962.74</v>
      </c>
      <c r="CX1683" s="35">
        <v>567.65</v>
      </c>
      <c r="CZ1683" s="35">
        <v>13.17</v>
      </c>
      <c r="DA1683" s="35">
        <v>8.65</v>
      </c>
      <c r="DB1683" s="35" t="s">
        <v>1630</v>
      </c>
    </row>
    <row r="1684" spans="1:142" s="35" customFormat="1" x14ac:dyDescent="0.25">
      <c r="A1684" s="35">
        <v>80</v>
      </c>
      <c r="B1684" s="35" t="s">
        <v>1623</v>
      </c>
      <c r="C1684" s="35" t="s">
        <v>1624</v>
      </c>
      <c r="D1684" s="35">
        <v>1950</v>
      </c>
      <c r="E1684" s="35">
        <v>1943</v>
      </c>
      <c r="F1684" s="35" t="s">
        <v>342</v>
      </c>
      <c r="G1684" s="35" t="s">
        <v>1625</v>
      </c>
      <c r="H1684" s="35">
        <v>40.479999999999997</v>
      </c>
      <c r="I1684" s="35">
        <v>-74.44</v>
      </c>
      <c r="J1684" s="35">
        <v>40.5</v>
      </c>
      <c r="P1684" s="54">
        <v>5</v>
      </c>
      <c r="Q1684" s="54"/>
      <c r="R1684" s="54"/>
      <c r="S1684" s="54" t="s">
        <v>1553</v>
      </c>
      <c r="T1684" s="54" t="s">
        <v>1553</v>
      </c>
      <c r="U1684" s="54" t="s">
        <v>1553</v>
      </c>
      <c r="V1684" s="54" t="s">
        <v>1553</v>
      </c>
      <c r="Z1684" s="35" t="s">
        <v>1788</v>
      </c>
      <c r="AE1684" s="35" t="s">
        <v>159</v>
      </c>
      <c r="AF1684" s="152" t="s">
        <v>159</v>
      </c>
      <c r="AG1684" s="35" t="s">
        <v>1771</v>
      </c>
      <c r="AH1684" s="154" t="s">
        <v>1793</v>
      </c>
      <c r="AR1684" s="35" t="s">
        <v>192</v>
      </c>
      <c r="AS1684" s="35">
        <v>4</v>
      </c>
      <c r="AT1684" s="35">
        <v>4</v>
      </c>
      <c r="AU1684" s="35" t="s">
        <v>169</v>
      </c>
      <c r="AZ1684" s="35" t="s">
        <v>1016</v>
      </c>
      <c r="CW1684" s="35">
        <v>757.93</v>
      </c>
      <c r="CX1684" s="35">
        <v>349.23</v>
      </c>
      <c r="CZ1684" s="35">
        <v>13.77</v>
      </c>
      <c r="DA1684" s="35">
        <v>7.73</v>
      </c>
      <c r="DB1684" s="35" t="s">
        <v>1630</v>
      </c>
    </row>
    <row r="1685" spans="1:142" s="35" customFormat="1" x14ac:dyDescent="0.25">
      <c r="A1685" s="35">
        <v>80</v>
      </c>
      <c r="B1685" s="35" t="s">
        <v>1623</v>
      </c>
      <c r="C1685" s="35" t="s">
        <v>1624</v>
      </c>
      <c r="D1685" s="35">
        <v>1950</v>
      </c>
      <c r="E1685" s="35">
        <v>1943</v>
      </c>
      <c r="F1685" s="35" t="s">
        <v>342</v>
      </c>
      <c r="G1685" s="35" t="s">
        <v>1625</v>
      </c>
      <c r="H1685" s="35">
        <v>40.479999999999997</v>
      </c>
      <c r="I1685" s="35">
        <v>-74.44</v>
      </c>
      <c r="J1685" s="35">
        <v>40.5</v>
      </c>
      <c r="P1685" s="54">
        <v>5</v>
      </c>
      <c r="Q1685" s="54"/>
      <c r="R1685" s="54"/>
      <c r="S1685" s="54" t="s">
        <v>1553</v>
      </c>
      <c r="T1685" s="54" t="s">
        <v>1553</v>
      </c>
      <c r="U1685" s="54" t="s">
        <v>1553</v>
      </c>
      <c r="V1685" s="54" t="s">
        <v>1553</v>
      </c>
      <c r="Z1685" s="35" t="s">
        <v>1788</v>
      </c>
      <c r="AE1685" s="35" t="s">
        <v>159</v>
      </c>
      <c r="AF1685" s="152" t="s">
        <v>159</v>
      </c>
      <c r="AG1685" s="35" t="s">
        <v>1771</v>
      </c>
      <c r="AH1685" s="154" t="s">
        <v>1793</v>
      </c>
      <c r="AR1685" s="35" t="s">
        <v>192</v>
      </c>
      <c r="AS1685" s="35">
        <v>4</v>
      </c>
      <c r="AT1685" s="35">
        <v>4</v>
      </c>
      <c r="AU1685" s="35" t="s">
        <v>169</v>
      </c>
      <c r="AZ1685" s="35" t="s">
        <v>1017</v>
      </c>
      <c r="CW1685" s="35">
        <v>811.88</v>
      </c>
      <c r="CX1685" s="35">
        <v>76.38</v>
      </c>
      <c r="CZ1685" s="35">
        <v>10.44</v>
      </c>
      <c r="DA1685" s="35">
        <v>3.5</v>
      </c>
      <c r="DB1685" s="35" t="s">
        <v>1630</v>
      </c>
    </row>
    <row r="1686" spans="1:142" s="35" customFormat="1" x14ac:dyDescent="0.25">
      <c r="A1686" s="35">
        <v>80</v>
      </c>
      <c r="B1686" s="35" t="s">
        <v>1623</v>
      </c>
      <c r="C1686" s="35" t="s">
        <v>1624</v>
      </c>
      <c r="D1686" s="35">
        <v>1950</v>
      </c>
      <c r="E1686" s="35">
        <v>1943</v>
      </c>
      <c r="F1686" s="35" t="s">
        <v>342</v>
      </c>
      <c r="G1686" s="35" t="s">
        <v>1625</v>
      </c>
      <c r="H1686" s="35">
        <v>40.479999999999997</v>
      </c>
      <c r="I1686" s="35">
        <v>-74.44</v>
      </c>
      <c r="J1686" s="35">
        <v>40.5</v>
      </c>
      <c r="P1686" s="54">
        <v>5</v>
      </c>
      <c r="Q1686" s="54"/>
      <c r="R1686" s="54"/>
      <c r="S1686" s="54" t="s">
        <v>1553</v>
      </c>
      <c r="T1686" s="54" t="s">
        <v>1553</v>
      </c>
      <c r="U1686" s="54" t="s">
        <v>1553</v>
      </c>
      <c r="V1686" s="54" t="s">
        <v>1553</v>
      </c>
      <c r="Z1686" s="35" t="s">
        <v>1788</v>
      </c>
      <c r="AE1686" s="35" t="s">
        <v>159</v>
      </c>
      <c r="AF1686" s="152" t="s">
        <v>159</v>
      </c>
      <c r="AG1686" s="35" t="s">
        <v>1771</v>
      </c>
      <c r="AH1686" s="154" t="s">
        <v>1793</v>
      </c>
      <c r="AR1686" s="35" t="s">
        <v>192</v>
      </c>
      <c r="AS1686" s="35">
        <v>4</v>
      </c>
      <c r="AT1686" s="35">
        <v>4</v>
      </c>
      <c r="AU1686" s="35" t="s">
        <v>169</v>
      </c>
      <c r="AZ1686" s="35" t="s">
        <v>879</v>
      </c>
      <c r="CW1686" s="35">
        <v>702.4</v>
      </c>
      <c r="CX1686" s="35">
        <v>62.23</v>
      </c>
      <c r="CZ1686" s="35">
        <v>14.95</v>
      </c>
      <c r="DA1686" s="35">
        <v>1.38</v>
      </c>
      <c r="DB1686" s="35" t="s">
        <v>1630</v>
      </c>
    </row>
    <row r="1687" spans="1:142" s="35" customFormat="1" x14ac:dyDescent="0.25">
      <c r="A1687" s="35">
        <v>80</v>
      </c>
      <c r="B1687" s="35" t="s">
        <v>1623</v>
      </c>
      <c r="C1687" s="35" t="s">
        <v>1624</v>
      </c>
      <c r="D1687" s="35">
        <v>1950</v>
      </c>
      <c r="E1687" s="35">
        <v>1943</v>
      </c>
      <c r="F1687" s="35" t="s">
        <v>342</v>
      </c>
      <c r="G1687" s="35" t="s">
        <v>1625</v>
      </c>
      <c r="H1687" s="35">
        <v>40.479999999999997</v>
      </c>
      <c r="I1687" s="35">
        <v>-74.44</v>
      </c>
      <c r="J1687" s="35">
        <v>40.5</v>
      </c>
      <c r="P1687" s="54">
        <v>5</v>
      </c>
      <c r="Q1687" s="54"/>
      <c r="R1687" s="54"/>
      <c r="S1687" s="54" t="s">
        <v>1553</v>
      </c>
      <c r="T1687" s="54" t="s">
        <v>1553</v>
      </c>
      <c r="U1687" s="54" t="s">
        <v>1553</v>
      </c>
      <c r="V1687" s="54" t="s">
        <v>1553</v>
      </c>
      <c r="Z1687" s="35" t="s">
        <v>1788</v>
      </c>
      <c r="AE1687" s="35" t="s">
        <v>159</v>
      </c>
      <c r="AF1687" s="152" t="s">
        <v>159</v>
      </c>
      <c r="AG1687" s="35" t="s">
        <v>1771</v>
      </c>
      <c r="AH1687" s="154" t="s">
        <v>1793</v>
      </c>
      <c r="AR1687" s="35" t="s">
        <v>192</v>
      </c>
      <c r="AS1687" s="35">
        <v>4</v>
      </c>
      <c r="AT1687" s="35">
        <v>4</v>
      </c>
      <c r="AU1687" s="35" t="s">
        <v>169</v>
      </c>
      <c r="AZ1687" s="35" t="s">
        <v>1133</v>
      </c>
      <c r="CW1687" s="35">
        <v>48.3</v>
      </c>
      <c r="CX1687" s="35">
        <v>6</v>
      </c>
      <c r="CZ1687" s="35">
        <v>1.67</v>
      </c>
      <c r="DA1687" s="35">
        <v>0.14000000000000001</v>
      </c>
      <c r="DB1687" s="35" t="s">
        <v>1630</v>
      </c>
    </row>
    <row r="1688" spans="1:142" s="43" customFormat="1" x14ac:dyDescent="0.25">
      <c r="A1688" s="43">
        <v>81</v>
      </c>
      <c r="B1688" s="43" t="s">
        <v>1631</v>
      </c>
      <c r="C1688" s="43" t="s">
        <v>1632</v>
      </c>
      <c r="D1688" s="43">
        <v>2016</v>
      </c>
      <c r="E1688" s="43">
        <v>1971</v>
      </c>
      <c r="F1688" s="43" t="s">
        <v>1633</v>
      </c>
      <c r="H1688" s="43">
        <v>38.94</v>
      </c>
      <c r="I1688" s="43">
        <v>-92.33</v>
      </c>
      <c r="J1688" s="43">
        <v>225</v>
      </c>
      <c r="P1688" s="61">
        <v>1</v>
      </c>
      <c r="Q1688" s="61"/>
      <c r="R1688" s="61"/>
      <c r="S1688" s="61" t="s">
        <v>1564</v>
      </c>
      <c r="T1688" s="61" t="s">
        <v>1564</v>
      </c>
      <c r="U1688" s="61" t="s">
        <v>1564</v>
      </c>
      <c r="V1688" s="61" t="s">
        <v>1907</v>
      </c>
      <c r="Z1688" s="43" t="s">
        <v>531</v>
      </c>
      <c r="AE1688" s="43" t="s">
        <v>475</v>
      </c>
      <c r="AF1688" s="152" t="s">
        <v>666</v>
      </c>
      <c r="AG1688" s="43" t="s">
        <v>1707</v>
      </c>
      <c r="AH1688" s="156" t="s">
        <v>1804</v>
      </c>
      <c r="AR1688" s="43" t="s">
        <v>192</v>
      </c>
      <c r="AU1688" s="43" t="s">
        <v>169</v>
      </c>
      <c r="AZ1688" s="43" t="s">
        <v>1635</v>
      </c>
      <c r="EJ1688" s="43">
        <v>1.5</v>
      </c>
      <c r="EK1688" s="43">
        <v>2.4300000000000002</v>
      </c>
      <c r="EL1688" s="43" t="s">
        <v>1636</v>
      </c>
    </row>
    <row r="1689" spans="1:142" s="43" customFormat="1" x14ac:dyDescent="0.25">
      <c r="A1689" s="43">
        <v>81</v>
      </c>
      <c r="B1689" s="43" t="s">
        <v>1631</v>
      </c>
      <c r="C1689" s="43" t="s">
        <v>1632</v>
      </c>
      <c r="D1689" s="43">
        <v>2016</v>
      </c>
      <c r="E1689" s="43">
        <v>1971</v>
      </c>
      <c r="F1689" s="43" t="s">
        <v>1633</v>
      </c>
      <c r="H1689" s="43">
        <v>38.94</v>
      </c>
      <c r="I1689" s="43">
        <v>-92.33</v>
      </c>
      <c r="J1689" s="43">
        <v>225</v>
      </c>
      <c r="P1689" s="61">
        <v>2</v>
      </c>
      <c r="Q1689" s="61"/>
      <c r="R1689" s="61"/>
      <c r="S1689" s="61" t="s">
        <v>1564</v>
      </c>
      <c r="T1689" s="61" t="s">
        <v>1564</v>
      </c>
      <c r="U1689" s="61" t="s">
        <v>1564</v>
      </c>
      <c r="V1689" s="61" t="s">
        <v>1907</v>
      </c>
      <c r="Z1689" s="43" t="s">
        <v>531</v>
      </c>
      <c r="AE1689" s="43" t="s">
        <v>475</v>
      </c>
      <c r="AF1689" s="152" t="s">
        <v>666</v>
      </c>
      <c r="AG1689" s="43" t="s">
        <v>1634</v>
      </c>
      <c r="AH1689" s="156" t="s">
        <v>1804</v>
      </c>
      <c r="AR1689" s="43" t="s">
        <v>192</v>
      </c>
      <c r="AU1689" s="43" t="s">
        <v>169</v>
      </c>
      <c r="AZ1689" s="43" t="s">
        <v>1635</v>
      </c>
      <c r="EJ1689" s="43">
        <v>1.97</v>
      </c>
      <c r="EK1689" s="43">
        <v>2.4300000000000002</v>
      </c>
      <c r="EL1689" s="43" t="s">
        <v>1636</v>
      </c>
    </row>
    <row r="1690" spans="1:142" s="43" customFormat="1" x14ac:dyDescent="0.25">
      <c r="A1690" s="43">
        <v>81</v>
      </c>
      <c r="B1690" s="43" t="s">
        <v>1631</v>
      </c>
      <c r="C1690" s="43" t="s">
        <v>1632</v>
      </c>
      <c r="D1690" s="43">
        <v>2016</v>
      </c>
      <c r="E1690" s="43">
        <v>1971</v>
      </c>
      <c r="F1690" s="43" t="s">
        <v>1633</v>
      </c>
      <c r="H1690" s="43">
        <v>38.94</v>
      </c>
      <c r="I1690" s="43">
        <v>-92.33</v>
      </c>
      <c r="J1690" s="43">
        <v>225</v>
      </c>
      <c r="P1690" s="61">
        <v>3</v>
      </c>
      <c r="Q1690" s="61"/>
      <c r="R1690" s="61"/>
      <c r="S1690" s="61" t="s">
        <v>1564</v>
      </c>
      <c r="T1690" s="61" t="s">
        <v>1564</v>
      </c>
      <c r="U1690" s="61" t="s">
        <v>1564</v>
      </c>
      <c r="V1690" s="61" t="s">
        <v>1907</v>
      </c>
      <c r="Z1690" s="43" t="s">
        <v>531</v>
      </c>
      <c r="AE1690" s="43" t="s">
        <v>475</v>
      </c>
      <c r="AF1690" s="152" t="s">
        <v>666</v>
      </c>
      <c r="AG1690" s="43" t="s">
        <v>160</v>
      </c>
      <c r="AH1690" s="156" t="s">
        <v>1804</v>
      </c>
      <c r="AR1690" s="43" t="s">
        <v>192</v>
      </c>
      <c r="AU1690" s="43" t="s">
        <v>169</v>
      </c>
      <c r="AZ1690" s="43" t="s">
        <v>1635</v>
      </c>
      <c r="EJ1690" s="43">
        <v>2.2799999999999998</v>
      </c>
      <c r="EK1690" s="43">
        <v>2.4300000000000002</v>
      </c>
      <c r="EL1690" s="43" t="s">
        <v>1636</v>
      </c>
    </row>
    <row r="1691" spans="1:142" s="35" customFormat="1" x14ac:dyDescent="0.25">
      <c r="A1691" s="35">
        <v>82</v>
      </c>
      <c r="B1691" s="35" t="s">
        <v>1637</v>
      </c>
      <c r="C1691" s="35" t="s">
        <v>1638</v>
      </c>
      <c r="D1691" s="35">
        <v>2007</v>
      </c>
      <c r="E1691" s="35">
        <v>2000</v>
      </c>
      <c r="F1691" s="35" t="s">
        <v>1639</v>
      </c>
      <c r="G1691" s="35" t="s">
        <v>1640</v>
      </c>
      <c r="H1691" s="35">
        <v>42.74</v>
      </c>
      <c r="I1691" s="35">
        <v>-84.48</v>
      </c>
      <c r="J1691" s="35">
        <v>260</v>
      </c>
      <c r="O1691" s="54"/>
      <c r="P1691" s="54">
        <v>1</v>
      </c>
      <c r="Q1691" s="54"/>
      <c r="R1691" s="54"/>
      <c r="S1691" s="54" t="s">
        <v>1565</v>
      </c>
      <c r="T1691" s="54" t="s">
        <v>1565</v>
      </c>
      <c r="U1691" s="54" t="s">
        <v>1593</v>
      </c>
      <c r="V1691" s="54" t="s">
        <v>1908</v>
      </c>
      <c r="Z1691" s="35" t="s">
        <v>167</v>
      </c>
      <c r="AE1691" s="35" t="s">
        <v>144</v>
      </c>
      <c r="AF1691" s="152" t="s">
        <v>1761</v>
      </c>
      <c r="AG1691" s="35" t="s">
        <v>190</v>
      </c>
      <c r="AH1691" s="154" t="s">
        <v>1791</v>
      </c>
      <c r="AI1691" s="35" t="s">
        <v>779</v>
      </c>
      <c r="AJ1691" s="35" t="s">
        <v>779</v>
      </c>
      <c r="AK1691" s="35" t="s">
        <v>212</v>
      </c>
      <c r="AR1691" s="35" t="s">
        <v>192</v>
      </c>
      <c r="AS1691" s="35">
        <v>4</v>
      </c>
      <c r="AT1691" s="35">
        <v>4</v>
      </c>
      <c r="AU1691" s="35" t="s">
        <v>379</v>
      </c>
      <c r="BM1691" s="35">
        <v>1.4</v>
      </c>
      <c r="BN1691" s="35">
        <v>1.1000000000000001</v>
      </c>
      <c r="BO1691" s="35" t="s">
        <v>1858</v>
      </c>
    </row>
    <row r="1692" spans="1:142" s="35" customFormat="1" x14ac:dyDescent="0.25">
      <c r="A1692" s="35">
        <v>82</v>
      </c>
      <c r="B1692" s="35" t="s">
        <v>1637</v>
      </c>
      <c r="C1692" s="35" t="s">
        <v>1638</v>
      </c>
      <c r="D1692" s="35">
        <v>2007</v>
      </c>
      <c r="E1692" s="35">
        <v>2000</v>
      </c>
      <c r="F1692" s="35" t="s">
        <v>1639</v>
      </c>
      <c r="G1692" s="35" t="s">
        <v>1640</v>
      </c>
      <c r="H1692" s="35">
        <v>42.74</v>
      </c>
      <c r="I1692" s="35">
        <v>-84.48</v>
      </c>
      <c r="J1692" s="35">
        <v>260</v>
      </c>
      <c r="O1692" s="54"/>
      <c r="P1692" s="54">
        <v>1</v>
      </c>
      <c r="Q1692" s="54"/>
      <c r="R1692" s="54"/>
      <c r="S1692" s="54" t="s">
        <v>1565</v>
      </c>
      <c r="T1692" s="54" t="s">
        <v>1565</v>
      </c>
      <c r="U1692" s="54" t="s">
        <v>1593</v>
      </c>
      <c r="V1692" s="54" t="s">
        <v>1908</v>
      </c>
      <c r="Z1692" s="35" t="s">
        <v>167</v>
      </c>
      <c r="AE1692" s="35" t="s">
        <v>159</v>
      </c>
      <c r="AF1692" s="152" t="s">
        <v>159</v>
      </c>
      <c r="AG1692" s="35" t="s">
        <v>190</v>
      </c>
      <c r="AH1692" s="154" t="s">
        <v>1791</v>
      </c>
      <c r="AI1692" s="35" t="s">
        <v>779</v>
      </c>
      <c r="AJ1692" s="35" t="s">
        <v>779</v>
      </c>
      <c r="AK1692" s="35" t="s">
        <v>212</v>
      </c>
      <c r="AR1692" s="35" t="s">
        <v>192</v>
      </c>
      <c r="AS1692" s="35">
        <v>4</v>
      </c>
      <c r="AT1692" s="35">
        <v>4</v>
      </c>
      <c r="AU1692" s="35" t="s">
        <v>379</v>
      </c>
      <c r="BM1692" s="35">
        <v>1.4</v>
      </c>
      <c r="BN1692" s="35">
        <v>1.1000000000000001</v>
      </c>
      <c r="BO1692" s="35" t="s">
        <v>1858</v>
      </c>
    </row>
    <row r="1693" spans="1:142" s="35" customFormat="1" x14ac:dyDescent="0.25">
      <c r="A1693" s="35">
        <v>82</v>
      </c>
      <c r="B1693" s="35" t="s">
        <v>1637</v>
      </c>
      <c r="C1693" s="35" t="s">
        <v>1638</v>
      </c>
      <c r="D1693" s="35">
        <v>2007</v>
      </c>
      <c r="E1693" s="35">
        <v>2000</v>
      </c>
      <c r="F1693" s="35" t="s">
        <v>1639</v>
      </c>
      <c r="G1693" s="35" t="s">
        <v>1640</v>
      </c>
      <c r="H1693" s="35">
        <v>42.74</v>
      </c>
      <c r="I1693" s="35">
        <v>-84.48</v>
      </c>
      <c r="J1693" s="35">
        <v>260</v>
      </c>
      <c r="O1693" s="54"/>
      <c r="P1693" s="54">
        <v>1</v>
      </c>
      <c r="Q1693" s="54"/>
      <c r="R1693" s="54"/>
      <c r="S1693" s="54" t="s">
        <v>1565</v>
      </c>
      <c r="T1693" s="54" t="s">
        <v>1565</v>
      </c>
      <c r="U1693" s="54" t="s">
        <v>1593</v>
      </c>
      <c r="V1693" s="54" t="s">
        <v>1908</v>
      </c>
      <c r="Z1693" s="35" t="s">
        <v>167</v>
      </c>
      <c r="AE1693" s="35" t="s">
        <v>1725</v>
      </c>
      <c r="AF1693" s="152" t="s">
        <v>159</v>
      </c>
      <c r="AG1693" s="35" t="s">
        <v>190</v>
      </c>
      <c r="AH1693" s="154" t="s">
        <v>1791</v>
      </c>
      <c r="AI1693" s="35" t="s">
        <v>779</v>
      </c>
      <c r="AJ1693" s="35" t="s">
        <v>779</v>
      </c>
      <c r="AK1693" s="35" t="s">
        <v>212</v>
      </c>
      <c r="AR1693" s="35" t="s">
        <v>192</v>
      </c>
      <c r="AS1693" s="35">
        <v>4</v>
      </c>
      <c r="AT1693" s="35">
        <v>4</v>
      </c>
      <c r="AU1693" s="35" t="s">
        <v>379</v>
      </c>
      <c r="BM1693" s="35">
        <v>1.4</v>
      </c>
      <c r="BN1693" s="35">
        <v>0.9</v>
      </c>
      <c r="BO1693" s="35" t="s">
        <v>1858</v>
      </c>
    </row>
    <row r="1694" spans="1:142" s="35" customFormat="1" x14ac:dyDescent="0.25">
      <c r="A1694" s="35">
        <v>82</v>
      </c>
      <c r="B1694" s="35" t="s">
        <v>1637</v>
      </c>
      <c r="C1694" s="35" t="s">
        <v>1638</v>
      </c>
      <c r="D1694" s="35">
        <v>2007</v>
      </c>
      <c r="E1694" s="35">
        <v>2000</v>
      </c>
      <c r="F1694" s="35" t="s">
        <v>1639</v>
      </c>
      <c r="G1694" s="35" t="s">
        <v>1640</v>
      </c>
      <c r="H1694" s="35">
        <v>42.74</v>
      </c>
      <c r="I1694" s="35">
        <v>-84.48</v>
      </c>
      <c r="J1694" s="35">
        <v>260</v>
      </c>
      <c r="O1694" s="54"/>
      <c r="P1694" s="54">
        <v>1</v>
      </c>
      <c r="Q1694" s="54"/>
      <c r="R1694" s="54"/>
      <c r="S1694" s="54" t="s">
        <v>1565</v>
      </c>
      <c r="T1694" s="54" t="s">
        <v>1565</v>
      </c>
      <c r="U1694" s="54" t="s">
        <v>1593</v>
      </c>
      <c r="V1694" s="54" t="s">
        <v>1908</v>
      </c>
      <c r="Z1694" s="35" t="s">
        <v>167</v>
      </c>
      <c r="AE1694" s="35" t="s">
        <v>1726</v>
      </c>
      <c r="AF1694" s="152" t="s">
        <v>1761</v>
      </c>
      <c r="AG1694" s="35" t="s">
        <v>190</v>
      </c>
      <c r="AH1694" s="154" t="s">
        <v>1791</v>
      </c>
      <c r="AI1694" s="35" t="s">
        <v>779</v>
      </c>
      <c r="AJ1694" s="35" t="s">
        <v>779</v>
      </c>
      <c r="AK1694" s="35" t="s">
        <v>212</v>
      </c>
      <c r="AR1694" s="35" t="s">
        <v>192</v>
      </c>
      <c r="AS1694" s="35">
        <v>4</v>
      </c>
      <c r="AT1694" s="35">
        <v>4</v>
      </c>
      <c r="AU1694" s="35" t="s">
        <v>379</v>
      </c>
      <c r="BM1694" s="35">
        <v>1.4</v>
      </c>
      <c r="BN1694" s="35">
        <v>0.8</v>
      </c>
      <c r="BO1694" s="35" t="s">
        <v>1858</v>
      </c>
    </row>
    <row r="1695" spans="1:142" s="35" customFormat="1" x14ac:dyDescent="0.25">
      <c r="A1695" s="35">
        <v>82</v>
      </c>
      <c r="B1695" s="35" t="s">
        <v>1637</v>
      </c>
      <c r="C1695" s="35" t="s">
        <v>1638</v>
      </c>
      <c r="D1695" s="35">
        <v>2007</v>
      </c>
      <c r="E1695" s="35">
        <v>2000</v>
      </c>
      <c r="F1695" s="35" t="s">
        <v>1639</v>
      </c>
      <c r="G1695" s="35" t="s">
        <v>1640</v>
      </c>
      <c r="H1695" s="35">
        <v>42.74</v>
      </c>
      <c r="I1695" s="35">
        <v>-84.48</v>
      </c>
      <c r="J1695" s="35">
        <v>260</v>
      </c>
      <c r="O1695" s="54"/>
      <c r="P1695" s="54">
        <v>1</v>
      </c>
      <c r="Q1695" s="54"/>
      <c r="R1695" s="54"/>
      <c r="S1695" s="54" t="s">
        <v>1565</v>
      </c>
      <c r="T1695" s="54" t="s">
        <v>1565</v>
      </c>
      <c r="U1695" s="54" t="s">
        <v>1593</v>
      </c>
      <c r="V1695" s="54" t="s">
        <v>1908</v>
      </c>
      <c r="Z1695" s="35" t="s">
        <v>167</v>
      </c>
      <c r="AE1695" s="35" t="s">
        <v>1727</v>
      </c>
      <c r="AF1695" s="152" t="s">
        <v>1761</v>
      </c>
      <c r="AG1695" s="35" t="s">
        <v>190</v>
      </c>
      <c r="AH1695" s="154" t="s">
        <v>1791</v>
      </c>
      <c r="AI1695" s="35" t="s">
        <v>779</v>
      </c>
      <c r="AJ1695" s="35" t="s">
        <v>779</v>
      </c>
      <c r="AK1695" s="35" t="s">
        <v>212</v>
      </c>
      <c r="AR1695" s="35" t="s">
        <v>192</v>
      </c>
      <c r="AS1695" s="35">
        <v>4</v>
      </c>
      <c r="AT1695" s="35">
        <v>4</v>
      </c>
      <c r="AU1695" s="35" t="s">
        <v>379</v>
      </c>
      <c r="BM1695" s="35">
        <v>1.4</v>
      </c>
      <c r="BN1695" s="35">
        <v>0.6</v>
      </c>
      <c r="BO1695" s="35" t="s">
        <v>1858</v>
      </c>
    </row>
    <row r="1696" spans="1:142" s="35" customFormat="1" x14ac:dyDescent="0.25">
      <c r="A1696" s="35">
        <v>82</v>
      </c>
      <c r="B1696" s="35" t="s">
        <v>1637</v>
      </c>
      <c r="C1696" s="35" t="s">
        <v>1638</v>
      </c>
      <c r="D1696" s="35">
        <v>2007</v>
      </c>
      <c r="E1696" s="35">
        <v>2000</v>
      </c>
      <c r="F1696" s="35" t="s">
        <v>1639</v>
      </c>
      <c r="G1696" s="35" t="s">
        <v>1640</v>
      </c>
      <c r="H1696" s="35">
        <v>42.74</v>
      </c>
      <c r="I1696" s="35">
        <v>-84.48</v>
      </c>
      <c r="J1696" s="35">
        <v>260</v>
      </c>
      <c r="O1696" s="54"/>
      <c r="P1696" s="54">
        <v>1</v>
      </c>
      <c r="Q1696" s="54"/>
      <c r="R1696" s="54"/>
      <c r="S1696" s="54" t="s">
        <v>1565</v>
      </c>
      <c r="T1696" s="54" t="s">
        <v>1565</v>
      </c>
      <c r="U1696" s="54" t="s">
        <v>1593</v>
      </c>
      <c r="V1696" s="54" t="s">
        <v>1908</v>
      </c>
      <c r="Z1696" s="35" t="s">
        <v>167</v>
      </c>
      <c r="AE1696" s="35" t="s">
        <v>1728</v>
      </c>
      <c r="AF1696" s="152" t="s">
        <v>1761</v>
      </c>
      <c r="AG1696" s="35" t="s">
        <v>190</v>
      </c>
      <c r="AH1696" s="154" t="s">
        <v>1791</v>
      </c>
      <c r="AI1696" s="35" t="s">
        <v>779</v>
      </c>
      <c r="AJ1696" s="35" t="s">
        <v>779</v>
      </c>
      <c r="AK1696" s="35" t="s">
        <v>212</v>
      </c>
      <c r="AR1696" s="35" t="s">
        <v>192</v>
      </c>
      <c r="AS1696" s="35">
        <v>4</v>
      </c>
      <c r="AT1696" s="35">
        <v>4</v>
      </c>
      <c r="AU1696" s="35" t="s">
        <v>379</v>
      </c>
      <c r="BM1696" s="35">
        <v>1.4</v>
      </c>
      <c r="BN1696" s="35">
        <v>0.8</v>
      </c>
      <c r="BO1696" s="35" t="s">
        <v>1858</v>
      </c>
    </row>
    <row r="1697" spans="1:67" s="35" customFormat="1" x14ac:dyDescent="0.25">
      <c r="A1697" s="35">
        <v>82</v>
      </c>
      <c r="B1697" s="35" t="s">
        <v>1637</v>
      </c>
      <c r="C1697" s="35" t="s">
        <v>1638</v>
      </c>
      <c r="D1697" s="35">
        <v>2007</v>
      </c>
      <c r="E1697" s="35">
        <v>2000</v>
      </c>
      <c r="F1697" s="35" t="s">
        <v>1639</v>
      </c>
      <c r="G1697" s="35" t="s">
        <v>1640</v>
      </c>
      <c r="H1697" s="35">
        <v>42.74</v>
      </c>
      <c r="I1697" s="35">
        <v>-84.48</v>
      </c>
      <c r="J1697" s="35">
        <v>260</v>
      </c>
      <c r="O1697" s="54"/>
      <c r="P1697" s="54">
        <v>1</v>
      </c>
      <c r="Q1697" s="54"/>
      <c r="R1697" s="54"/>
      <c r="S1697" s="54" t="s">
        <v>1565</v>
      </c>
      <c r="T1697" s="54" t="s">
        <v>1565</v>
      </c>
      <c r="U1697" s="54" t="s">
        <v>1593</v>
      </c>
      <c r="V1697" s="54" t="s">
        <v>1908</v>
      </c>
      <c r="Z1697" s="35" t="s">
        <v>167</v>
      </c>
      <c r="AE1697" s="35" t="s">
        <v>1729</v>
      </c>
      <c r="AF1697" s="152" t="s">
        <v>1761</v>
      </c>
      <c r="AG1697" s="35" t="s">
        <v>190</v>
      </c>
      <c r="AH1697" s="154" t="s">
        <v>1791</v>
      </c>
      <c r="AI1697" s="35" t="s">
        <v>779</v>
      </c>
      <c r="AJ1697" s="35" t="s">
        <v>779</v>
      </c>
      <c r="AK1697" s="35" t="s">
        <v>212</v>
      </c>
      <c r="AR1697" s="35" t="s">
        <v>192</v>
      </c>
      <c r="AS1697" s="35">
        <v>4</v>
      </c>
      <c r="AT1697" s="35">
        <v>4</v>
      </c>
      <c r="AU1697" s="35" t="s">
        <v>379</v>
      </c>
      <c r="BM1697" s="35">
        <v>1.4</v>
      </c>
      <c r="BN1697" s="35">
        <v>1.1000000000000001</v>
      </c>
      <c r="BO1697" s="35" t="s">
        <v>1858</v>
      </c>
    </row>
    <row r="1698" spans="1:67" s="147" customFormat="1" x14ac:dyDescent="0.25">
      <c r="A1698" s="147">
        <v>82</v>
      </c>
      <c r="B1698" s="147" t="s">
        <v>1637</v>
      </c>
      <c r="C1698" s="147" t="s">
        <v>1638</v>
      </c>
      <c r="D1698" s="147">
        <v>2007</v>
      </c>
      <c r="E1698" s="147">
        <v>2000</v>
      </c>
      <c r="F1698" s="147" t="s">
        <v>1639</v>
      </c>
      <c r="G1698" s="147" t="s">
        <v>1640</v>
      </c>
      <c r="H1698" s="147">
        <v>42.74</v>
      </c>
      <c r="I1698" s="147">
        <v>-84.48</v>
      </c>
      <c r="J1698" s="147">
        <v>260</v>
      </c>
      <c r="O1698" s="148"/>
      <c r="P1698" s="148">
        <v>1</v>
      </c>
      <c r="Q1698" s="148"/>
      <c r="R1698" s="148"/>
      <c r="S1698" s="148" t="s">
        <v>1578</v>
      </c>
      <c r="T1698" s="148" t="s">
        <v>1565</v>
      </c>
      <c r="U1698" s="148" t="s">
        <v>1593</v>
      </c>
      <c r="V1698" s="148" t="s">
        <v>1908</v>
      </c>
      <c r="Z1698" s="147" t="s">
        <v>167</v>
      </c>
      <c r="AE1698" s="147" t="s">
        <v>144</v>
      </c>
      <c r="AF1698" s="152" t="s">
        <v>1761</v>
      </c>
      <c r="AG1698" s="147" t="s">
        <v>190</v>
      </c>
      <c r="AH1698" s="154" t="s">
        <v>1791</v>
      </c>
      <c r="AI1698" s="35" t="s">
        <v>779</v>
      </c>
      <c r="AJ1698" s="35" t="s">
        <v>779</v>
      </c>
      <c r="AK1698" s="35" t="s">
        <v>212</v>
      </c>
      <c r="AR1698" s="35" t="s">
        <v>192</v>
      </c>
      <c r="AS1698" s="35">
        <v>4</v>
      </c>
      <c r="AT1698" s="35">
        <v>4</v>
      </c>
      <c r="AU1698" s="35" t="s">
        <v>379</v>
      </c>
      <c r="BM1698" s="147">
        <v>1.6</v>
      </c>
      <c r="BN1698" s="147">
        <v>0.9</v>
      </c>
      <c r="BO1698" s="35" t="s">
        <v>1858</v>
      </c>
    </row>
    <row r="1699" spans="1:67" s="147" customFormat="1" x14ac:dyDescent="0.25">
      <c r="A1699" s="147">
        <v>82</v>
      </c>
      <c r="B1699" s="147" t="s">
        <v>1637</v>
      </c>
      <c r="C1699" s="147" t="s">
        <v>1638</v>
      </c>
      <c r="D1699" s="147">
        <v>2007</v>
      </c>
      <c r="E1699" s="147">
        <v>2000</v>
      </c>
      <c r="F1699" s="147" t="s">
        <v>1639</v>
      </c>
      <c r="G1699" s="147" t="s">
        <v>1640</v>
      </c>
      <c r="H1699" s="147">
        <v>42.74</v>
      </c>
      <c r="I1699" s="147">
        <v>-84.48</v>
      </c>
      <c r="J1699" s="147">
        <v>260</v>
      </c>
      <c r="O1699" s="148"/>
      <c r="P1699" s="148">
        <v>1</v>
      </c>
      <c r="Q1699" s="148"/>
      <c r="R1699" s="148"/>
      <c r="S1699" s="148" t="s">
        <v>1578</v>
      </c>
      <c r="T1699" s="148" t="s">
        <v>1565</v>
      </c>
      <c r="U1699" s="148" t="s">
        <v>1593</v>
      </c>
      <c r="V1699" s="148" t="s">
        <v>1908</v>
      </c>
      <c r="Z1699" s="147" t="s">
        <v>167</v>
      </c>
      <c r="AE1699" s="147" t="s">
        <v>159</v>
      </c>
      <c r="AF1699" s="152" t="s">
        <v>159</v>
      </c>
      <c r="AG1699" s="147" t="s">
        <v>190</v>
      </c>
      <c r="AH1699" s="154" t="s">
        <v>1791</v>
      </c>
      <c r="AI1699" s="35" t="s">
        <v>779</v>
      </c>
      <c r="AJ1699" s="35" t="s">
        <v>779</v>
      </c>
      <c r="AK1699" s="35" t="s">
        <v>212</v>
      </c>
      <c r="AR1699" s="35" t="s">
        <v>192</v>
      </c>
      <c r="AS1699" s="35">
        <v>4</v>
      </c>
      <c r="AT1699" s="35">
        <v>4</v>
      </c>
      <c r="AU1699" s="35" t="s">
        <v>379</v>
      </c>
      <c r="BM1699" s="147">
        <v>1.6</v>
      </c>
      <c r="BN1699" s="147">
        <v>0.8</v>
      </c>
      <c r="BO1699" s="35" t="s">
        <v>1858</v>
      </c>
    </row>
    <row r="1700" spans="1:67" s="147" customFormat="1" x14ac:dyDescent="0.25">
      <c r="A1700" s="147">
        <v>82</v>
      </c>
      <c r="B1700" s="147" t="s">
        <v>1637</v>
      </c>
      <c r="C1700" s="147" t="s">
        <v>1638</v>
      </c>
      <c r="D1700" s="147">
        <v>2007</v>
      </c>
      <c r="E1700" s="147">
        <v>2000</v>
      </c>
      <c r="F1700" s="147" t="s">
        <v>1639</v>
      </c>
      <c r="G1700" s="147" t="s">
        <v>1640</v>
      </c>
      <c r="H1700" s="147">
        <v>42.74</v>
      </c>
      <c r="I1700" s="147">
        <v>-84.48</v>
      </c>
      <c r="J1700" s="147">
        <v>260</v>
      </c>
      <c r="O1700" s="148"/>
      <c r="P1700" s="148">
        <v>1</v>
      </c>
      <c r="Q1700" s="148"/>
      <c r="R1700" s="148"/>
      <c r="S1700" s="148" t="s">
        <v>1578</v>
      </c>
      <c r="T1700" s="148" t="s">
        <v>1565</v>
      </c>
      <c r="U1700" s="148" t="s">
        <v>1593</v>
      </c>
      <c r="V1700" s="148" t="s">
        <v>1908</v>
      </c>
      <c r="Z1700" s="147" t="s">
        <v>167</v>
      </c>
      <c r="AE1700" s="147" t="s">
        <v>1725</v>
      </c>
      <c r="AF1700" s="152" t="s">
        <v>159</v>
      </c>
      <c r="AG1700" s="147" t="s">
        <v>190</v>
      </c>
      <c r="AH1700" s="154" t="s">
        <v>1791</v>
      </c>
      <c r="AI1700" s="35" t="s">
        <v>779</v>
      </c>
      <c r="AJ1700" s="35" t="s">
        <v>779</v>
      </c>
      <c r="AK1700" s="35" t="s">
        <v>212</v>
      </c>
      <c r="AR1700" s="35" t="s">
        <v>192</v>
      </c>
      <c r="AS1700" s="35">
        <v>4</v>
      </c>
      <c r="AT1700" s="35">
        <v>4</v>
      </c>
      <c r="AU1700" s="35" t="s">
        <v>379</v>
      </c>
      <c r="BM1700" s="147">
        <v>1.6</v>
      </c>
      <c r="BN1700" s="147">
        <v>0.8</v>
      </c>
      <c r="BO1700" s="35" t="s">
        <v>1858</v>
      </c>
    </row>
    <row r="1701" spans="1:67" s="147" customFormat="1" x14ac:dyDescent="0.25">
      <c r="A1701" s="147">
        <v>82</v>
      </c>
      <c r="B1701" s="147" t="s">
        <v>1637</v>
      </c>
      <c r="C1701" s="147" t="s">
        <v>1638</v>
      </c>
      <c r="D1701" s="147">
        <v>2007</v>
      </c>
      <c r="E1701" s="147">
        <v>2000</v>
      </c>
      <c r="F1701" s="147" t="s">
        <v>1639</v>
      </c>
      <c r="G1701" s="147" t="s">
        <v>1640</v>
      </c>
      <c r="H1701" s="147">
        <v>42.74</v>
      </c>
      <c r="I1701" s="147">
        <v>-84.48</v>
      </c>
      <c r="J1701" s="147">
        <v>260</v>
      </c>
      <c r="O1701" s="148"/>
      <c r="P1701" s="148">
        <v>1</v>
      </c>
      <c r="Q1701" s="148"/>
      <c r="R1701" s="148"/>
      <c r="S1701" s="148" t="s">
        <v>1578</v>
      </c>
      <c r="T1701" s="148" t="s">
        <v>1565</v>
      </c>
      <c r="U1701" s="148" t="s">
        <v>1593</v>
      </c>
      <c r="V1701" s="148" t="s">
        <v>1908</v>
      </c>
      <c r="Z1701" s="147" t="s">
        <v>167</v>
      </c>
      <c r="AE1701" s="147" t="s">
        <v>1726</v>
      </c>
      <c r="AF1701" s="152" t="s">
        <v>1761</v>
      </c>
      <c r="AG1701" s="147" t="s">
        <v>190</v>
      </c>
      <c r="AH1701" s="154" t="s">
        <v>1791</v>
      </c>
      <c r="AI1701" s="35" t="s">
        <v>779</v>
      </c>
      <c r="AJ1701" s="35" t="s">
        <v>779</v>
      </c>
      <c r="AK1701" s="35" t="s">
        <v>212</v>
      </c>
      <c r="AR1701" s="35" t="s">
        <v>192</v>
      </c>
      <c r="AS1701" s="35">
        <v>4</v>
      </c>
      <c r="AT1701" s="35">
        <v>4</v>
      </c>
      <c r="AU1701" s="35" t="s">
        <v>379</v>
      </c>
      <c r="BM1701" s="147">
        <v>1.6</v>
      </c>
      <c r="BN1701" s="147">
        <v>0.9</v>
      </c>
      <c r="BO1701" s="35" t="s">
        <v>1858</v>
      </c>
    </row>
    <row r="1702" spans="1:67" s="147" customFormat="1" x14ac:dyDescent="0.25">
      <c r="A1702" s="147">
        <v>82</v>
      </c>
      <c r="B1702" s="147" t="s">
        <v>1637</v>
      </c>
      <c r="C1702" s="147" t="s">
        <v>1638</v>
      </c>
      <c r="D1702" s="147">
        <v>2007</v>
      </c>
      <c r="E1702" s="147">
        <v>2000</v>
      </c>
      <c r="F1702" s="147" t="s">
        <v>1639</v>
      </c>
      <c r="G1702" s="147" t="s">
        <v>1640</v>
      </c>
      <c r="H1702" s="147">
        <v>42.74</v>
      </c>
      <c r="I1702" s="147">
        <v>-84.48</v>
      </c>
      <c r="J1702" s="147">
        <v>260</v>
      </c>
      <c r="O1702" s="148"/>
      <c r="P1702" s="148">
        <v>1</v>
      </c>
      <c r="Q1702" s="148"/>
      <c r="R1702" s="148"/>
      <c r="S1702" s="148" t="s">
        <v>1578</v>
      </c>
      <c r="T1702" s="148" t="s">
        <v>1565</v>
      </c>
      <c r="U1702" s="148" t="s">
        <v>1593</v>
      </c>
      <c r="V1702" s="148" t="s">
        <v>1908</v>
      </c>
      <c r="Z1702" s="147" t="s">
        <v>167</v>
      </c>
      <c r="AE1702" s="147" t="s">
        <v>1727</v>
      </c>
      <c r="AF1702" s="152" t="s">
        <v>1761</v>
      </c>
      <c r="AG1702" s="147" t="s">
        <v>190</v>
      </c>
      <c r="AH1702" s="154" t="s">
        <v>1791</v>
      </c>
      <c r="AI1702" s="35" t="s">
        <v>779</v>
      </c>
      <c r="AJ1702" s="35" t="s">
        <v>779</v>
      </c>
      <c r="AK1702" s="35" t="s">
        <v>212</v>
      </c>
      <c r="AR1702" s="35" t="s">
        <v>192</v>
      </c>
      <c r="AS1702" s="35">
        <v>4</v>
      </c>
      <c r="AT1702" s="35">
        <v>4</v>
      </c>
      <c r="AU1702" s="35" t="s">
        <v>379</v>
      </c>
      <c r="BM1702" s="147">
        <v>1.6</v>
      </c>
      <c r="BN1702" s="147">
        <v>0.6</v>
      </c>
      <c r="BO1702" s="35" t="s">
        <v>1858</v>
      </c>
    </row>
    <row r="1703" spans="1:67" s="147" customFormat="1" x14ac:dyDescent="0.25">
      <c r="A1703" s="147">
        <v>82</v>
      </c>
      <c r="B1703" s="147" t="s">
        <v>1637</v>
      </c>
      <c r="C1703" s="147" t="s">
        <v>1638</v>
      </c>
      <c r="D1703" s="147">
        <v>2007</v>
      </c>
      <c r="E1703" s="147">
        <v>2000</v>
      </c>
      <c r="F1703" s="147" t="s">
        <v>1639</v>
      </c>
      <c r="G1703" s="147" t="s">
        <v>1640</v>
      </c>
      <c r="H1703" s="147">
        <v>42.74</v>
      </c>
      <c r="I1703" s="147">
        <v>-84.48</v>
      </c>
      <c r="J1703" s="147">
        <v>260</v>
      </c>
      <c r="O1703" s="148"/>
      <c r="P1703" s="148">
        <v>1</v>
      </c>
      <c r="Q1703" s="148"/>
      <c r="R1703" s="148"/>
      <c r="S1703" s="148" t="s">
        <v>1578</v>
      </c>
      <c r="T1703" s="148" t="s">
        <v>1565</v>
      </c>
      <c r="U1703" s="148" t="s">
        <v>1593</v>
      </c>
      <c r="V1703" s="148" t="s">
        <v>1908</v>
      </c>
      <c r="Z1703" s="147" t="s">
        <v>167</v>
      </c>
      <c r="AE1703" s="147" t="s">
        <v>1728</v>
      </c>
      <c r="AF1703" s="152" t="s">
        <v>1761</v>
      </c>
      <c r="AG1703" s="147" t="s">
        <v>190</v>
      </c>
      <c r="AH1703" s="154" t="s">
        <v>1791</v>
      </c>
      <c r="AI1703" s="35" t="s">
        <v>779</v>
      </c>
      <c r="AJ1703" s="35" t="s">
        <v>779</v>
      </c>
      <c r="AK1703" s="35" t="s">
        <v>212</v>
      </c>
      <c r="AR1703" s="35" t="s">
        <v>192</v>
      </c>
      <c r="AS1703" s="35">
        <v>4</v>
      </c>
      <c r="AT1703" s="35">
        <v>4</v>
      </c>
      <c r="AU1703" s="35" t="s">
        <v>379</v>
      </c>
      <c r="BM1703" s="147">
        <v>1.6</v>
      </c>
      <c r="BN1703" s="147">
        <v>0.7</v>
      </c>
      <c r="BO1703" s="35" t="s">
        <v>1858</v>
      </c>
    </row>
    <row r="1704" spans="1:67" s="147" customFormat="1" x14ac:dyDescent="0.25">
      <c r="A1704" s="147">
        <v>82</v>
      </c>
      <c r="B1704" s="147" t="s">
        <v>1637</v>
      </c>
      <c r="C1704" s="147" t="s">
        <v>1638</v>
      </c>
      <c r="D1704" s="147">
        <v>2007</v>
      </c>
      <c r="E1704" s="147">
        <v>2000</v>
      </c>
      <c r="F1704" s="147" t="s">
        <v>1639</v>
      </c>
      <c r="G1704" s="147" t="s">
        <v>1640</v>
      </c>
      <c r="H1704" s="147">
        <v>42.74</v>
      </c>
      <c r="I1704" s="147">
        <v>-84.48</v>
      </c>
      <c r="J1704" s="147">
        <v>260</v>
      </c>
      <c r="O1704" s="148"/>
      <c r="P1704" s="148">
        <v>1</v>
      </c>
      <c r="Q1704" s="148"/>
      <c r="R1704" s="148"/>
      <c r="S1704" s="148" t="s">
        <v>1578</v>
      </c>
      <c r="T1704" s="148" t="s">
        <v>1565</v>
      </c>
      <c r="U1704" s="148" t="s">
        <v>1593</v>
      </c>
      <c r="V1704" s="148" t="s">
        <v>1908</v>
      </c>
      <c r="Z1704" s="147" t="s">
        <v>167</v>
      </c>
      <c r="AE1704" s="147" t="s">
        <v>1729</v>
      </c>
      <c r="AF1704" s="152" t="s">
        <v>1761</v>
      </c>
      <c r="AG1704" s="147" t="s">
        <v>190</v>
      </c>
      <c r="AH1704" s="154" t="s">
        <v>1791</v>
      </c>
      <c r="AI1704" s="35" t="s">
        <v>779</v>
      </c>
      <c r="AJ1704" s="35" t="s">
        <v>779</v>
      </c>
      <c r="AK1704" s="35" t="s">
        <v>212</v>
      </c>
      <c r="AR1704" s="35" t="s">
        <v>192</v>
      </c>
      <c r="AS1704" s="35">
        <v>4</v>
      </c>
      <c r="AT1704" s="35">
        <v>4</v>
      </c>
      <c r="AU1704" s="35" t="s">
        <v>379</v>
      </c>
      <c r="BM1704" s="147">
        <v>1.6</v>
      </c>
      <c r="BN1704" s="147">
        <v>0.7</v>
      </c>
      <c r="BO1704" s="35" t="s">
        <v>1858</v>
      </c>
    </row>
    <row r="1705" spans="1:67" s="35" customFormat="1" x14ac:dyDescent="0.25">
      <c r="A1705" s="35">
        <v>82</v>
      </c>
      <c r="B1705" s="35" t="s">
        <v>1637</v>
      </c>
      <c r="C1705" s="35" t="s">
        <v>1638</v>
      </c>
      <c r="D1705" s="35">
        <v>2007</v>
      </c>
      <c r="E1705" s="35">
        <v>2000</v>
      </c>
      <c r="F1705" s="35" t="s">
        <v>1639</v>
      </c>
      <c r="G1705" s="35" t="s">
        <v>1640</v>
      </c>
      <c r="H1705" s="35">
        <v>42.74</v>
      </c>
      <c r="I1705" s="35">
        <v>-84.48</v>
      </c>
      <c r="J1705" s="35">
        <v>260</v>
      </c>
      <c r="O1705" s="54"/>
      <c r="P1705" s="54">
        <v>1</v>
      </c>
      <c r="Q1705" s="54"/>
      <c r="R1705" s="54"/>
      <c r="S1705" s="54" t="s">
        <v>1579</v>
      </c>
      <c r="T1705" s="54" t="s">
        <v>1565</v>
      </c>
      <c r="U1705" s="54" t="s">
        <v>1593</v>
      </c>
      <c r="V1705" s="54" t="s">
        <v>1908</v>
      </c>
      <c r="Z1705" s="35" t="s">
        <v>167</v>
      </c>
      <c r="AE1705" s="35" t="s">
        <v>144</v>
      </c>
      <c r="AF1705" s="152" t="s">
        <v>1761</v>
      </c>
      <c r="AG1705" s="35" t="s">
        <v>190</v>
      </c>
      <c r="AH1705" s="154" t="s">
        <v>1791</v>
      </c>
      <c r="AI1705" s="35" t="s">
        <v>779</v>
      </c>
      <c r="AJ1705" s="35" t="s">
        <v>779</v>
      </c>
      <c r="AK1705" s="35" t="s">
        <v>212</v>
      </c>
      <c r="AR1705" s="35" t="s">
        <v>192</v>
      </c>
      <c r="AS1705" s="35">
        <v>4</v>
      </c>
      <c r="AT1705" s="35">
        <v>4</v>
      </c>
      <c r="AU1705" s="35" t="s">
        <v>379</v>
      </c>
      <c r="BM1705" s="35">
        <v>1.5</v>
      </c>
      <c r="BN1705" s="35">
        <v>0.6</v>
      </c>
      <c r="BO1705" s="35" t="s">
        <v>1858</v>
      </c>
    </row>
    <row r="1706" spans="1:67" s="35" customFormat="1" x14ac:dyDescent="0.25">
      <c r="A1706" s="35">
        <v>82</v>
      </c>
      <c r="B1706" s="35" t="s">
        <v>1637</v>
      </c>
      <c r="C1706" s="35" t="s">
        <v>1638</v>
      </c>
      <c r="D1706" s="35">
        <v>2007</v>
      </c>
      <c r="E1706" s="35">
        <v>2000</v>
      </c>
      <c r="F1706" s="35" t="s">
        <v>1639</v>
      </c>
      <c r="G1706" s="35" t="s">
        <v>1640</v>
      </c>
      <c r="H1706" s="35">
        <v>42.74</v>
      </c>
      <c r="I1706" s="35">
        <v>-84.48</v>
      </c>
      <c r="J1706" s="35">
        <v>260</v>
      </c>
      <c r="O1706" s="54"/>
      <c r="P1706" s="54">
        <v>1</v>
      </c>
      <c r="Q1706" s="54"/>
      <c r="R1706" s="54"/>
      <c r="S1706" s="54" t="s">
        <v>1579</v>
      </c>
      <c r="T1706" s="54" t="s">
        <v>1565</v>
      </c>
      <c r="U1706" s="54" t="s">
        <v>1593</v>
      </c>
      <c r="V1706" s="54" t="s">
        <v>1908</v>
      </c>
      <c r="Z1706" s="35" t="s">
        <v>167</v>
      </c>
      <c r="AE1706" s="35" t="s">
        <v>159</v>
      </c>
      <c r="AF1706" s="152" t="s">
        <v>159</v>
      </c>
      <c r="AG1706" s="35" t="s">
        <v>190</v>
      </c>
      <c r="AH1706" s="154" t="s">
        <v>1791</v>
      </c>
      <c r="AI1706" s="35" t="s">
        <v>779</v>
      </c>
      <c r="AJ1706" s="35" t="s">
        <v>779</v>
      </c>
      <c r="AK1706" s="35" t="s">
        <v>212</v>
      </c>
      <c r="AR1706" s="35" t="s">
        <v>192</v>
      </c>
      <c r="AS1706" s="35">
        <v>4</v>
      </c>
      <c r="AT1706" s="35">
        <v>4</v>
      </c>
      <c r="AU1706" s="35" t="s">
        <v>379</v>
      </c>
      <c r="BM1706" s="35">
        <v>1.5</v>
      </c>
      <c r="BN1706" s="35">
        <v>0.7</v>
      </c>
      <c r="BO1706" s="35" t="s">
        <v>1858</v>
      </c>
    </row>
    <row r="1707" spans="1:67" s="35" customFormat="1" x14ac:dyDescent="0.25">
      <c r="A1707" s="35">
        <v>82</v>
      </c>
      <c r="B1707" s="35" t="s">
        <v>1637</v>
      </c>
      <c r="C1707" s="35" t="s">
        <v>1638</v>
      </c>
      <c r="D1707" s="35">
        <v>2007</v>
      </c>
      <c r="E1707" s="35">
        <v>2000</v>
      </c>
      <c r="F1707" s="35" t="s">
        <v>1639</v>
      </c>
      <c r="G1707" s="35" t="s">
        <v>1640</v>
      </c>
      <c r="H1707" s="35">
        <v>42.74</v>
      </c>
      <c r="I1707" s="35">
        <v>-84.48</v>
      </c>
      <c r="J1707" s="35">
        <v>260</v>
      </c>
      <c r="O1707" s="54"/>
      <c r="P1707" s="54">
        <v>1</v>
      </c>
      <c r="Q1707" s="54"/>
      <c r="R1707" s="54"/>
      <c r="S1707" s="54" t="s">
        <v>1579</v>
      </c>
      <c r="T1707" s="54" t="s">
        <v>1565</v>
      </c>
      <c r="U1707" s="54" t="s">
        <v>1593</v>
      </c>
      <c r="V1707" s="54" t="s">
        <v>1908</v>
      </c>
      <c r="Z1707" s="35" t="s">
        <v>167</v>
      </c>
      <c r="AE1707" s="35" t="s">
        <v>1725</v>
      </c>
      <c r="AF1707" s="152" t="s">
        <v>159</v>
      </c>
      <c r="AG1707" s="35" t="s">
        <v>190</v>
      </c>
      <c r="AH1707" s="154" t="s">
        <v>1791</v>
      </c>
      <c r="AI1707" s="35" t="s">
        <v>779</v>
      </c>
      <c r="AJ1707" s="35" t="s">
        <v>779</v>
      </c>
      <c r="AK1707" s="35" t="s">
        <v>212</v>
      </c>
      <c r="AR1707" s="35" t="s">
        <v>192</v>
      </c>
      <c r="AS1707" s="35">
        <v>4</v>
      </c>
      <c r="AT1707" s="35">
        <v>4</v>
      </c>
      <c r="AU1707" s="35" t="s">
        <v>379</v>
      </c>
      <c r="BM1707" s="35">
        <v>1.5</v>
      </c>
      <c r="BN1707" s="35">
        <v>1</v>
      </c>
      <c r="BO1707" s="35" t="s">
        <v>1858</v>
      </c>
    </row>
    <row r="1708" spans="1:67" s="35" customFormat="1" x14ac:dyDescent="0.25">
      <c r="A1708" s="35">
        <v>82</v>
      </c>
      <c r="B1708" s="35" t="s">
        <v>1637</v>
      </c>
      <c r="C1708" s="35" t="s">
        <v>1638</v>
      </c>
      <c r="D1708" s="35">
        <v>2007</v>
      </c>
      <c r="E1708" s="35">
        <v>2000</v>
      </c>
      <c r="F1708" s="35" t="s">
        <v>1639</v>
      </c>
      <c r="G1708" s="35" t="s">
        <v>1640</v>
      </c>
      <c r="H1708" s="35">
        <v>42.74</v>
      </c>
      <c r="I1708" s="35">
        <v>-84.48</v>
      </c>
      <c r="J1708" s="35">
        <v>260</v>
      </c>
      <c r="O1708" s="54"/>
      <c r="P1708" s="54">
        <v>1</v>
      </c>
      <c r="Q1708" s="54"/>
      <c r="R1708" s="54"/>
      <c r="S1708" s="54" t="s">
        <v>1579</v>
      </c>
      <c r="T1708" s="54" t="s">
        <v>1565</v>
      </c>
      <c r="U1708" s="54" t="s">
        <v>1593</v>
      </c>
      <c r="V1708" s="54" t="s">
        <v>1908</v>
      </c>
      <c r="Z1708" s="35" t="s">
        <v>167</v>
      </c>
      <c r="AE1708" s="35" t="s">
        <v>1726</v>
      </c>
      <c r="AF1708" s="152" t="s">
        <v>1761</v>
      </c>
      <c r="AG1708" s="35" t="s">
        <v>190</v>
      </c>
      <c r="AH1708" s="154" t="s">
        <v>1791</v>
      </c>
      <c r="AI1708" s="35" t="s">
        <v>779</v>
      </c>
      <c r="AJ1708" s="35" t="s">
        <v>779</v>
      </c>
      <c r="AK1708" s="35" t="s">
        <v>212</v>
      </c>
      <c r="AR1708" s="35" t="s">
        <v>192</v>
      </c>
      <c r="AS1708" s="35">
        <v>4</v>
      </c>
      <c r="AT1708" s="35">
        <v>4</v>
      </c>
      <c r="AU1708" s="35" t="s">
        <v>379</v>
      </c>
      <c r="BM1708" s="35">
        <v>1.5</v>
      </c>
      <c r="BN1708" s="35">
        <v>0.5</v>
      </c>
      <c r="BO1708" s="35" t="s">
        <v>1858</v>
      </c>
    </row>
    <row r="1709" spans="1:67" s="35" customFormat="1" x14ac:dyDescent="0.25">
      <c r="A1709" s="35">
        <v>82</v>
      </c>
      <c r="B1709" s="35" t="s">
        <v>1637</v>
      </c>
      <c r="C1709" s="35" t="s">
        <v>1638</v>
      </c>
      <c r="D1709" s="35">
        <v>2007</v>
      </c>
      <c r="E1709" s="35">
        <v>2000</v>
      </c>
      <c r="F1709" s="35" t="s">
        <v>1639</v>
      </c>
      <c r="G1709" s="35" t="s">
        <v>1640</v>
      </c>
      <c r="H1709" s="35">
        <v>42.74</v>
      </c>
      <c r="I1709" s="35">
        <v>-84.48</v>
      </c>
      <c r="J1709" s="35">
        <v>260</v>
      </c>
      <c r="O1709" s="54"/>
      <c r="P1709" s="54">
        <v>1</v>
      </c>
      <c r="Q1709" s="54"/>
      <c r="R1709" s="54"/>
      <c r="S1709" s="54" t="s">
        <v>1579</v>
      </c>
      <c r="T1709" s="54" t="s">
        <v>1565</v>
      </c>
      <c r="U1709" s="54" t="s">
        <v>1593</v>
      </c>
      <c r="V1709" s="54" t="s">
        <v>1908</v>
      </c>
      <c r="Z1709" s="35" t="s">
        <v>167</v>
      </c>
      <c r="AE1709" s="35" t="s">
        <v>1727</v>
      </c>
      <c r="AF1709" s="152" t="s">
        <v>1761</v>
      </c>
      <c r="AG1709" s="35" t="s">
        <v>190</v>
      </c>
      <c r="AH1709" s="154" t="s">
        <v>1791</v>
      </c>
      <c r="AI1709" s="35" t="s">
        <v>779</v>
      </c>
      <c r="AJ1709" s="35" t="s">
        <v>779</v>
      </c>
      <c r="AK1709" s="35" t="s">
        <v>212</v>
      </c>
      <c r="AR1709" s="35" t="s">
        <v>192</v>
      </c>
      <c r="AS1709" s="35">
        <v>4</v>
      </c>
      <c r="AT1709" s="35">
        <v>4</v>
      </c>
      <c r="AU1709" s="35" t="s">
        <v>379</v>
      </c>
      <c r="BM1709" s="35">
        <v>1.5</v>
      </c>
      <c r="BN1709" s="35">
        <v>0.7</v>
      </c>
      <c r="BO1709" s="35" t="s">
        <v>1858</v>
      </c>
    </row>
    <row r="1710" spans="1:67" s="35" customFormat="1" x14ac:dyDescent="0.25">
      <c r="A1710" s="35">
        <v>82</v>
      </c>
      <c r="B1710" s="35" t="s">
        <v>1637</v>
      </c>
      <c r="C1710" s="35" t="s">
        <v>1638</v>
      </c>
      <c r="D1710" s="35">
        <v>2007</v>
      </c>
      <c r="E1710" s="35">
        <v>2000</v>
      </c>
      <c r="F1710" s="35" t="s">
        <v>1639</v>
      </c>
      <c r="G1710" s="35" t="s">
        <v>1640</v>
      </c>
      <c r="H1710" s="35">
        <v>42.74</v>
      </c>
      <c r="I1710" s="35">
        <v>-84.48</v>
      </c>
      <c r="J1710" s="35">
        <v>260</v>
      </c>
      <c r="O1710" s="54"/>
      <c r="P1710" s="54">
        <v>1</v>
      </c>
      <c r="Q1710" s="54"/>
      <c r="R1710" s="54"/>
      <c r="S1710" s="54" t="s">
        <v>1579</v>
      </c>
      <c r="T1710" s="54" t="s">
        <v>1565</v>
      </c>
      <c r="U1710" s="54" t="s">
        <v>1593</v>
      </c>
      <c r="V1710" s="54" t="s">
        <v>1908</v>
      </c>
      <c r="Z1710" s="35" t="s">
        <v>167</v>
      </c>
      <c r="AE1710" s="35" t="s">
        <v>1728</v>
      </c>
      <c r="AF1710" s="152" t="s">
        <v>1761</v>
      </c>
      <c r="AG1710" s="35" t="s">
        <v>190</v>
      </c>
      <c r="AH1710" s="154" t="s">
        <v>1791</v>
      </c>
      <c r="AI1710" s="35" t="s">
        <v>779</v>
      </c>
      <c r="AJ1710" s="35" t="s">
        <v>779</v>
      </c>
      <c r="AK1710" s="35" t="s">
        <v>212</v>
      </c>
      <c r="AR1710" s="35" t="s">
        <v>192</v>
      </c>
      <c r="AS1710" s="35">
        <v>4</v>
      </c>
      <c r="AT1710" s="35">
        <v>4</v>
      </c>
      <c r="AU1710" s="35" t="s">
        <v>379</v>
      </c>
      <c r="BM1710" s="35">
        <v>1.5</v>
      </c>
      <c r="BN1710" s="35">
        <v>0.8</v>
      </c>
      <c r="BO1710" s="35" t="s">
        <v>1858</v>
      </c>
    </row>
    <row r="1711" spans="1:67" s="35" customFormat="1" x14ac:dyDescent="0.25">
      <c r="A1711" s="35">
        <v>82</v>
      </c>
      <c r="B1711" s="35" t="s">
        <v>1637</v>
      </c>
      <c r="C1711" s="35" t="s">
        <v>1638</v>
      </c>
      <c r="D1711" s="35">
        <v>2007</v>
      </c>
      <c r="E1711" s="35">
        <v>2000</v>
      </c>
      <c r="F1711" s="35" t="s">
        <v>1639</v>
      </c>
      <c r="G1711" s="35" t="s">
        <v>1640</v>
      </c>
      <c r="H1711" s="35">
        <v>42.74</v>
      </c>
      <c r="I1711" s="35">
        <v>-84.48</v>
      </c>
      <c r="J1711" s="35">
        <v>260</v>
      </c>
      <c r="O1711" s="54"/>
      <c r="P1711" s="54">
        <v>1</v>
      </c>
      <c r="Q1711" s="54"/>
      <c r="R1711" s="54"/>
      <c r="S1711" s="54" t="s">
        <v>1579</v>
      </c>
      <c r="T1711" s="54" t="s">
        <v>1565</v>
      </c>
      <c r="U1711" s="54" t="s">
        <v>1593</v>
      </c>
      <c r="V1711" s="54" t="s">
        <v>1908</v>
      </c>
      <c r="Z1711" s="35" t="s">
        <v>167</v>
      </c>
      <c r="AE1711" s="35" t="s">
        <v>1729</v>
      </c>
      <c r="AF1711" s="152" t="s">
        <v>1761</v>
      </c>
      <c r="AG1711" s="35" t="s">
        <v>190</v>
      </c>
      <c r="AH1711" s="154" t="s">
        <v>1791</v>
      </c>
      <c r="AI1711" s="35" t="s">
        <v>779</v>
      </c>
      <c r="AJ1711" s="35" t="s">
        <v>779</v>
      </c>
      <c r="AK1711" s="35" t="s">
        <v>212</v>
      </c>
      <c r="AR1711" s="35" t="s">
        <v>192</v>
      </c>
      <c r="AS1711" s="35">
        <v>4</v>
      </c>
      <c r="AT1711" s="35">
        <v>4</v>
      </c>
      <c r="AU1711" s="35" t="s">
        <v>379</v>
      </c>
      <c r="BM1711" s="35">
        <v>1.5</v>
      </c>
      <c r="BN1711" s="35">
        <v>0.8</v>
      </c>
      <c r="BO1711" s="35" t="s">
        <v>1858</v>
      </c>
    </row>
    <row r="1712" spans="1:67" s="149" customFormat="1" x14ac:dyDescent="0.25">
      <c r="A1712" s="149">
        <v>82</v>
      </c>
      <c r="B1712" s="149" t="s">
        <v>1637</v>
      </c>
      <c r="C1712" s="149" t="s">
        <v>1638</v>
      </c>
      <c r="D1712" s="149">
        <v>2007</v>
      </c>
      <c r="E1712" s="149">
        <v>2001</v>
      </c>
      <c r="F1712" s="149" t="s">
        <v>1639</v>
      </c>
      <c r="G1712" s="149" t="s">
        <v>1640</v>
      </c>
      <c r="H1712" s="149">
        <v>42.74</v>
      </c>
      <c r="I1712" s="149">
        <v>-84.48</v>
      </c>
      <c r="J1712" s="149">
        <v>260</v>
      </c>
      <c r="O1712" s="150"/>
      <c r="P1712" s="150">
        <v>2</v>
      </c>
      <c r="Q1712" s="150"/>
      <c r="R1712" s="150"/>
      <c r="S1712" s="150" t="s">
        <v>1565</v>
      </c>
      <c r="T1712" s="150" t="s">
        <v>1565</v>
      </c>
      <c r="U1712" s="150" t="s">
        <v>1593</v>
      </c>
      <c r="V1712" s="150" t="s">
        <v>1908</v>
      </c>
      <c r="Z1712" s="149" t="s">
        <v>167</v>
      </c>
      <c r="AE1712" s="149" t="s">
        <v>144</v>
      </c>
      <c r="AF1712" s="152" t="s">
        <v>1761</v>
      </c>
      <c r="AG1712" s="149" t="s">
        <v>190</v>
      </c>
      <c r="AH1712" s="154" t="s">
        <v>1791</v>
      </c>
      <c r="AR1712" s="35" t="s">
        <v>192</v>
      </c>
      <c r="AS1712" s="35">
        <v>4</v>
      </c>
      <c r="AT1712" s="35">
        <v>4</v>
      </c>
      <c r="AU1712" s="35" t="s">
        <v>379</v>
      </c>
      <c r="BM1712" s="149">
        <v>2.8</v>
      </c>
      <c r="BN1712" s="149">
        <v>2.7</v>
      </c>
      <c r="BO1712" s="149" t="s">
        <v>1858</v>
      </c>
    </row>
    <row r="1713" spans="1:67" s="149" customFormat="1" x14ac:dyDescent="0.25">
      <c r="A1713" s="149">
        <v>82</v>
      </c>
      <c r="B1713" s="149" t="s">
        <v>1637</v>
      </c>
      <c r="C1713" s="149" t="s">
        <v>1638</v>
      </c>
      <c r="D1713" s="149">
        <v>2007</v>
      </c>
      <c r="E1713" s="149">
        <v>2001</v>
      </c>
      <c r="F1713" s="149" t="s">
        <v>1639</v>
      </c>
      <c r="G1713" s="149" t="s">
        <v>1640</v>
      </c>
      <c r="H1713" s="149">
        <v>42.74</v>
      </c>
      <c r="I1713" s="149">
        <v>-84.48</v>
      </c>
      <c r="J1713" s="149">
        <v>260</v>
      </c>
      <c r="O1713" s="150"/>
      <c r="P1713" s="150">
        <v>2</v>
      </c>
      <c r="Q1713" s="150"/>
      <c r="R1713" s="150"/>
      <c r="S1713" s="150" t="s">
        <v>1565</v>
      </c>
      <c r="T1713" s="150" t="s">
        <v>1565</v>
      </c>
      <c r="U1713" s="150" t="s">
        <v>1593</v>
      </c>
      <c r="V1713" s="150" t="s">
        <v>1908</v>
      </c>
      <c r="Z1713" s="149" t="s">
        <v>167</v>
      </c>
      <c r="AE1713" s="149" t="s">
        <v>159</v>
      </c>
      <c r="AF1713" s="152" t="s">
        <v>159</v>
      </c>
      <c r="AG1713" s="149" t="s">
        <v>190</v>
      </c>
      <c r="AH1713" s="154" t="s">
        <v>1791</v>
      </c>
      <c r="AR1713" s="35" t="s">
        <v>192</v>
      </c>
      <c r="AS1713" s="35">
        <v>4</v>
      </c>
      <c r="AT1713" s="35">
        <v>4</v>
      </c>
      <c r="AU1713" s="35" t="s">
        <v>379</v>
      </c>
      <c r="BM1713" s="149">
        <v>2.8</v>
      </c>
      <c r="BN1713" s="149">
        <v>2.2000000000000002</v>
      </c>
      <c r="BO1713" s="149" t="s">
        <v>1858</v>
      </c>
    </row>
    <row r="1714" spans="1:67" s="149" customFormat="1" x14ac:dyDescent="0.25">
      <c r="A1714" s="149">
        <v>82</v>
      </c>
      <c r="B1714" s="149" t="s">
        <v>1637</v>
      </c>
      <c r="C1714" s="149" t="s">
        <v>1638</v>
      </c>
      <c r="D1714" s="149">
        <v>2007</v>
      </c>
      <c r="E1714" s="149">
        <v>2001</v>
      </c>
      <c r="F1714" s="149" t="s">
        <v>1639</v>
      </c>
      <c r="G1714" s="149" t="s">
        <v>1640</v>
      </c>
      <c r="H1714" s="149">
        <v>42.74</v>
      </c>
      <c r="I1714" s="149">
        <v>-84.48</v>
      </c>
      <c r="J1714" s="149">
        <v>260</v>
      </c>
      <c r="O1714" s="150"/>
      <c r="P1714" s="150">
        <v>2</v>
      </c>
      <c r="Q1714" s="150"/>
      <c r="R1714" s="150"/>
      <c r="S1714" s="150" t="s">
        <v>1565</v>
      </c>
      <c r="T1714" s="150" t="s">
        <v>1565</v>
      </c>
      <c r="U1714" s="150" t="s">
        <v>1593</v>
      </c>
      <c r="V1714" s="150" t="s">
        <v>1908</v>
      </c>
      <c r="Z1714" s="149" t="s">
        <v>167</v>
      </c>
      <c r="AE1714" s="149" t="s">
        <v>1725</v>
      </c>
      <c r="AF1714" s="152" t="s">
        <v>159</v>
      </c>
      <c r="AG1714" s="149" t="s">
        <v>190</v>
      </c>
      <c r="AH1714" s="154" t="s">
        <v>1791</v>
      </c>
      <c r="AR1714" s="35" t="s">
        <v>192</v>
      </c>
      <c r="AS1714" s="35">
        <v>4</v>
      </c>
      <c r="AT1714" s="35">
        <v>4</v>
      </c>
      <c r="AU1714" s="35" t="s">
        <v>379</v>
      </c>
      <c r="BM1714" s="149">
        <v>2.8</v>
      </c>
      <c r="BN1714" s="149">
        <v>2.2999999999999998</v>
      </c>
      <c r="BO1714" s="149" t="s">
        <v>1858</v>
      </c>
    </row>
    <row r="1715" spans="1:67" s="149" customFormat="1" x14ac:dyDescent="0.25">
      <c r="A1715" s="149">
        <v>82</v>
      </c>
      <c r="B1715" s="149" t="s">
        <v>1637</v>
      </c>
      <c r="C1715" s="149" t="s">
        <v>1638</v>
      </c>
      <c r="D1715" s="149">
        <v>2007</v>
      </c>
      <c r="E1715" s="149">
        <v>2001</v>
      </c>
      <c r="F1715" s="149" t="s">
        <v>1639</v>
      </c>
      <c r="G1715" s="149" t="s">
        <v>1640</v>
      </c>
      <c r="H1715" s="149">
        <v>42.74</v>
      </c>
      <c r="I1715" s="149">
        <v>-84.48</v>
      </c>
      <c r="J1715" s="149">
        <v>260</v>
      </c>
      <c r="O1715" s="150"/>
      <c r="P1715" s="150">
        <v>2</v>
      </c>
      <c r="Q1715" s="150"/>
      <c r="R1715" s="150"/>
      <c r="S1715" s="150" t="s">
        <v>1565</v>
      </c>
      <c r="T1715" s="150" t="s">
        <v>1565</v>
      </c>
      <c r="U1715" s="150" t="s">
        <v>1593</v>
      </c>
      <c r="V1715" s="150" t="s">
        <v>1908</v>
      </c>
      <c r="Z1715" s="149" t="s">
        <v>167</v>
      </c>
      <c r="AE1715" s="149" t="s">
        <v>1726</v>
      </c>
      <c r="AF1715" s="152" t="s">
        <v>1761</v>
      </c>
      <c r="AG1715" s="149" t="s">
        <v>190</v>
      </c>
      <c r="AH1715" s="154" t="s">
        <v>1791</v>
      </c>
      <c r="AR1715" s="35" t="s">
        <v>192</v>
      </c>
      <c r="AS1715" s="35">
        <v>4</v>
      </c>
      <c r="AT1715" s="35">
        <v>4</v>
      </c>
      <c r="AU1715" s="35" t="s">
        <v>379</v>
      </c>
      <c r="BM1715" s="149">
        <v>2.8</v>
      </c>
      <c r="BN1715" s="149">
        <v>1.5</v>
      </c>
      <c r="BO1715" s="149" t="s">
        <v>1858</v>
      </c>
    </row>
    <row r="1716" spans="1:67" s="149" customFormat="1" x14ac:dyDescent="0.25">
      <c r="A1716" s="149">
        <v>82</v>
      </c>
      <c r="B1716" s="149" t="s">
        <v>1637</v>
      </c>
      <c r="C1716" s="149" t="s">
        <v>1638</v>
      </c>
      <c r="D1716" s="149">
        <v>2007</v>
      </c>
      <c r="E1716" s="149">
        <v>2001</v>
      </c>
      <c r="F1716" s="149" t="s">
        <v>1639</v>
      </c>
      <c r="G1716" s="149" t="s">
        <v>1640</v>
      </c>
      <c r="H1716" s="149">
        <v>42.74</v>
      </c>
      <c r="I1716" s="149">
        <v>-84.48</v>
      </c>
      <c r="J1716" s="149">
        <v>260</v>
      </c>
      <c r="O1716" s="150"/>
      <c r="P1716" s="150">
        <v>2</v>
      </c>
      <c r="Q1716" s="150"/>
      <c r="R1716" s="150"/>
      <c r="S1716" s="150" t="s">
        <v>1565</v>
      </c>
      <c r="T1716" s="150" t="s">
        <v>1565</v>
      </c>
      <c r="U1716" s="150" t="s">
        <v>1593</v>
      </c>
      <c r="V1716" s="150" t="s">
        <v>1908</v>
      </c>
      <c r="Z1716" s="149" t="s">
        <v>167</v>
      </c>
      <c r="AE1716" s="149" t="s">
        <v>1727</v>
      </c>
      <c r="AF1716" s="152" t="s">
        <v>1761</v>
      </c>
      <c r="AG1716" s="149" t="s">
        <v>190</v>
      </c>
      <c r="AH1716" s="154" t="s">
        <v>1791</v>
      </c>
      <c r="AR1716" s="35" t="s">
        <v>192</v>
      </c>
      <c r="AS1716" s="35">
        <v>4</v>
      </c>
      <c r="AT1716" s="35">
        <v>4</v>
      </c>
      <c r="AU1716" s="35" t="s">
        <v>379</v>
      </c>
      <c r="BM1716" s="149">
        <v>2.8</v>
      </c>
      <c r="BN1716" s="149">
        <v>1.5</v>
      </c>
      <c r="BO1716" s="149" t="s">
        <v>1858</v>
      </c>
    </row>
    <row r="1717" spans="1:67" s="149" customFormat="1" x14ac:dyDescent="0.25">
      <c r="A1717" s="149">
        <v>82</v>
      </c>
      <c r="B1717" s="149" t="s">
        <v>1637</v>
      </c>
      <c r="C1717" s="149" t="s">
        <v>1638</v>
      </c>
      <c r="D1717" s="149">
        <v>2007</v>
      </c>
      <c r="E1717" s="149">
        <v>2001</v>
      </c>
      <c r="F1717" s="149" t="s">
        <v>1639</v>
      </c>
      <c r="G1717" s="149" t="s">
        <v>1640</v>
      </c>
      <c r="H1717" s="149">
        <v>42.74</v>
      </c>
      <c r="I1717" s="149">
        <v>-84.48</v>
      </c>
      <c r="J1717" s="149">
        <v>260</v>
      </c>
      <c r="O1717" s="150"/>
      <c r="P1717" s="150">
        <v>2</v>
      </c>
      <c r="Q1717" s="150"/>
      <c r="R1717" s="150"/>
      <c r="S1717" s="150" t="s">
        <v>1565</v>
      </c>
      <c r="T1717" s="150" t="s">
        <v>1565</v>
      </c>
      <c r="U1717" s="150" t="s">
        <v>1593</v>
      </c>
      <c r="V1717" s="150" t="s">
        <v>1908</v>
      </c>
      <c r="Z1717" s="149" t="s">
        <v>167</v>
      </c>
      <c r="AE1717" s="149" t="s">
        <v>1728</v>
      </c>
      <c r="AF1717" s="152" t="s">
        <v>1761</v>
      </c>
      <c r="AG1717" s="149" t="s">
        <v>190</v>
      </c>
      <c r="AH1717" s="154" t="s">
        <v>1791</v>
      </c>
      <c r="AR1717" s="35" t="s">
        <v>192</v>
      </c>
      <c r="AS1717" s="35">
        <v>4</v>
      </c>
      <c r="AT1717" s="35">
        <v>4</v>
      </c>
      <c r="AU1717" s="35" t="s">
        <v>379</v>
      </c>
      <c r="BM1717" s="149">
        <v>2.8</v>
      </c>
      <c r="BN1717" s="149">
        <v>1.3</v>
      </c>
      <c r="BO1717" s="149" t="s">
        <v>1858</v>
      </c>
    </row>
    <row r="1718" spans="1:67" s="149" customFormat="1" x14ac:dyDescent="0.25">
      <c r="A1718" s="149">
        <v>82</v>
      </c>
      <c r="B1718" s="149" t="s">
        <v>1637</v>
      </c>
      <c r="C1718" s="149" t="s">
        <v>1638</v>
      </c>
      <c r="D1718" s="149">
        <v>2007</v>
      </c>
      <c r="E1718" s="149">
        <v>2001</v>
      </c>
      <c r="F1718" s="149" t="s">
        <v>1639</v>
      </c>
      <c r="G1718" s="149" t="s">
        <v>1640</v>
      </c>
      <c r="H1718" s="149">
        <v>42.74</v>
      </c>
      <c r="I1718" s="149">
        <v>-84.48</v>
      </c>
      <c r="J1718" s="149">
        <v>260</v>
      </c>
      <c r="O1718" s="150"/>
      <c r="P1718" s="150">
        <v>2</v>
      </c>
      <c r="Q1718" s="150"/>
      <c r="R1718" s="150"/>
      <c r="S1718" s="150" t="s">
        <v>1565</v>
      </c>
      <c r="T1718" s="150" t="s">
        <v>1565</v>
      </c>
      <c r="U1718" s="150" t="s">
        <v>1593</v>
      </c>
      <c r="V1718" s="150" t="s">
        <v>1908</v>
      </c>
      <c r="Z1718" s="149" t="s">
        <v>167</v>
      </c>
      <c r="AE1718" s="149" t="s">
        <v>1729</v>
      </c>
      <c r="AF1718" s="152" t="s">
        <v>1761</v>
      </c>
      <c r="AG1718" s="149" t="s">
        <v>190</v>
      </c>
      <c r="AH1718" s="154" t="s">
        <v>1791</v>
      </c>
      <c r="AR1718" s="35" t="s">
        <v>192</v>
      </c>
      <c r="AS1718" s="35">
        <v>4</v>
      </c>
      <c r="AT1718" s="35">
        <v>4</v>
      </c>
      <c r="AU1718" s="35" t="s">
        <v>379</v>
      </c>
      <c r="BM1718" s="149">
        <v>2.8</v>
      </c>
      <c r="BN1718" s="149">
        <v>1.3</v>
      </c>
      <c r="BO1718" s="149" t="s">
        <v>1858</v>
      </c>
    </row>
    <row r="1719" spans="1:67" s="26" customFormat="1" x14ac:dyDescent="0.25">
      <c r="A1719" s="26">
        <v>82</v>
      </c>
      <c r="B1719" s="26" t="s">
        <v>1637</v>
      </c>
      <c r="C1719" s="26" t="s">
        <v>1638</v>
      </c>
      <c r="D1719" s="26">
        <v>2007</v>
      </c>
      <c r="E1719" s="26">
        <v>2001</v>
      </c>
      <c r="F1719" s="26" t="s">
        <v>1639</v>
      </c>
      <c r="G1719" s="26" t="s">
        <v>1640</v>
      </c>
      <c r="H1719" s="26">
        <v>42.74</v>
      </c>
      <c r="I1719" s="26">
        <v>-84.48</v>
      </c>
      <c r="J1719" s="26">
        <v>260</v>
      </c>
      <c r="O1719" s="52"/>
      <c r="P1719" s="52">
        <v>2</v>
      </c>
      <c r="Q1719" s="52"/>
      <c r="R1719" s="52"/>
      <c r="S1719" s="52" t="s">
        <v>1578</v>
      </c>
      <c r="T1719" s="52" t="s">
        <v>1565</v>
      </c>
      <c r="U1719" s="52" t="s">
        <v>1593</v>
      </c>
      <c r="V1719" s="52" t="s">
        <v>1908</v>
      </c>
      <c r="Z1719" s="26" t="s">
        <v>167</v>
      </c>
      <c r="AE1719" s="26" t="s">
        <v>144</v>
      </c>
      <c r="AF1719" s="152" t="s">
        <v>1761</v>
      </c>
      <c r="AG1719" s="26" t="s">
        <v>190</v>
      </c>
      <c r="AH1719" s="154" t="s">
        <v>1791</v>
      </c>
      <c r="AR1719" s="35" t="s">
        <v>192</v>
      </c>
      <c r="AS1719" s="35">
        <v>4</v>
      </c>
      <c r="AT1719" s="35">
        <v>4</v>
      </c>
      <c r="AU1719" s="35" t="s">
        <v>379</v>
      </c>
      <c r="BM1719" s="26">
        <v>3.4</v>
      </c>
      <c r="BN1719" s="26">
        <v>2.4</v>
      </c>
      <c r="BO1719" s="26" t="s">
        <v>1858</v>
      </c>
    </row>
    <row r="1720" spans="1:67" s="26" customFormat="1" x14ac:dyDescent="0.25">
      <c r="A1720" s="26">
        <v>82</v>
      </c>
      <c r="B1720" s="26" t="s">
        <v>1637</v>
      </c>
      <c r="C1720" s="26" t="s">
        <v>1638</v>
      </c>
      <c r="D1720" s="26">
        <v>2007</v>
      </c>
      <c r="E1720" s="26">
        <v>2001</v>
      </c>
      <c r="F1720" s="26" t="s">
        <v>1639</v>
      </c>
      <c r="G1720" s="26" t="s">
        <v>1640</v>
      </c>
      <c r="H1720" s="26">
        <v>42.74</v>
      </c>
      <c r="I1720" s="26">
        <v>-84.48</v>
      </c>
      <c r="J1720" s="26">
        <v>260</v>
      </c>
      <c r="O1720" s="52"/>
      <c r="P1720" s="52">
        <v>2</v>
      </c>
      <c r="Q1720" s="52"/>
      <c r="R1720" s="52"/>
      <c r="S1720" s="52" t="s">
        <v>1578</v>
      </c>
      <c r="T1720" s="52" t="s">
        <v>1565</v>
      </c>
      <c r="U1720" s="52" t="s">
        <v>1593</v>
      </c>
      <c r="V1720" s="52" t="s">
        <v>1908</v>
      </c>
      <c r="Z1720" s="26" t="s">
        <v>167</v>
      </c>
      <c r="AE1720" s="26" t="s">
        <v>159</v>
      </c>
      <c r="AF1720" s="152" t="s">
        <v>159</v>
      </c>
      <c r="AG1720" s="26" t="s">
        <v>190</v>
      </c>
      <c r="AH1720" s="154" t="s">
        <v>1791</v>
      </c>
      <c r="AR1720" s="35" t="s">
        <v>192</v>
      </c>
      <c r="AS1720" s="35">
        <v>4</v>
      </c>
      <c r="AT1720" s="35">
        <v>4</v>
      </c>
      <c r="AU1720" s="35" t="s">
        <v>379</v>
      </c>
      <c r="BM1720" s="26">
        <v>3.4</v>
      </c>
      <c r="BN1720" s="26">
        <v>2</v>
      </c>
      <c r="BO1720" s="26" t="s">
        <v>1858</v>
      </c>
    </row>
    <row r="1721" spans="1:67" s="26" customFormat="1" x14ac:dyDescent="0.25">
      <c r="A1721" s="26">
        <v>82</v>
      </c>
      <c r="B1721" s="26" t="s">
        <v>1637</v>
      </c>
      <c r="C1721" s="26" t="s">
        <v>1638</v>
      </c>
      <c r="D1721" s="26">
        <v>2007</v>
      </c>
      <c r="E1721" s="26">
        <v>2001</v>
      </c>
      <c r="F1721" s="26" t="s">
        <v>1639</v>
      </c>
      <c r="G1721" s="26" t="s">
        <v>1640</v>
      </c>
      <c r="H1721" s="26">
        <v>42.74</v>
      </c>
      <c r="I1721" s="26">
        <v>-84.48</v>
      </c>
      <c r="J1721" s="26">
        <v>260</v>
      </c>
      <c r="O1721" s="52"/>
      <c r="P1721" s="52">
        <v>2</v>
      </c>
      <c r="Q1721" s="52"/>
      <c r="R1721" s="52"/>
      <c r="S1721" s="52" t="s">
        <v>1578</v>
      </c>
      <c r="T1721" s="52" t="s">
        <v>1565</v>
      </c>
      <c r="U1721" s="52" t="s">
        <v>1593</v>
      </c>
      <c r="V1721" s="52" t="s">
        <v>1908</v>
      </c>
      <c r="Z1721" s="26" t="s">
        <v>167</v>
      </c>
      <c r="AE1721" s="26" t="s">
        <v>1725</v>
      </c>
      <c r="AF1721" s="152" t="s">
        <v>159</v>
      </c>
      <c r="AG1721" s="26" t="s">
        <v>190</v>
      </c>
      <c r="AH1721" s="154" t="s">
        <v>1791</v>
      </c>
      <c r="AR1721" s="35" t="s">
        <v>192</v>
      </c>
      <c r="AS1721" s="35">
        <v>4</v>
      </c>
      <c r="AT1721" s="35">
        <v>4</v>
      </c>
      <c r="AU1721" s="35" t="s">
        <v>379</v>
      </c>
      <c r="BM1721" s="26">
        <v>3.4</v>
      </c>
      <c r="BN1721" s="26">
        <v>1.7</v>
      </c>
      <c r="BO1721" s="26" t="s">
        <v>1858</v>
      </c>
    </row>
    <row r="1722" spans="1:67" s="26" customFormat="1" x14ac:dyDescent="0.25">
      <c r="A1722" s="26">
        <v>82</v>
      </c>
      <c r="B1722" s="26" t="s">
        <v>1637</v>
      </c>
      <c r="C1722" s="26" t="s">
        <v>1638</v>
      </c>
      <c r="D1722" s="26">
        <v>2007</v>
      </c>
      <c r="E1722" s="26">
        <v>2001</v>
      </c>
      <c r="F1722" s="26" t="s">
        <v>1639</v>
      </c>
      <c r="G1722" s="26" t="s">
        <v>1640</v>
      </c>
      <c r="H1722" s="26">
        <v>42.74</v>
      </c>
      <c r="I1722" s="26">
        <v>-84.48</v>
      </c>
      <c r="J1722" s="26">
        <v>260</v>
      </c>
      <c r="O1722" s="52"/>
      <c r="P1722" s="52">
        <v>2</v>
      </c>
      <c r="Q1722" s="52"/>
      <c r="R1722" s="52"/>
      <c r="S1722" s="52" t="s">
        <v>1578</v>
      </c>
      <c r="T1722" s="52" t="s">
        <v>1565</v>
      </c>
      <c r="U1722" s="52" t="s">
        <v>1593</v>
      </c>
      <c r="V1722" s="52" t="s">
        <v>1908</v>
      </c>
      <c r="Z1722" s="26" t="s">
        <v>167</v>
      </c>
      <c r="AE1722" s="26" t="s">
        <v>1726</v>
      </c>
      <c r="AF1722" s="152" t="s">
        <v>1761</v>
      </c>
      <c r="AG1722" s="26" t="s">
        <v>190</v>
      </c>
      <c r="AH1722" s="154" t="s">
        <v>1791</v>
      </c>
      <c r="AR1722" s="35" t="s">
        <v>192</v>
      </c>
      <c r="AS1722" s="35">
        <v>4</v>
      </c>
      <c r="AT1722" s="35">
        <v>4</v>
      </c>
      <c r="AU1722" s="35" t="s">
        <v>379</v>
      </c>
      <c r="BM1722" s="26">
        <v>3.4</v>
      </c>
      <c r="BN1722" s="26">
        <v>1.3</v>
      </c>
      <c r="BO1722" s="26" t="s">
        <v>1858</v>
      </c>
    </row>
    <row r="1723" spans="1:67" s="26" customFormat="1" x14ac:dyDescent="0.25">
      <c r="A1723" s="26">
        <v>82</v>
      </c>
      <c r="B1723" s="26" t="s">
        <v>1637</v>
      </c>
      <c r="C1723" s="26" t="s">
        <v>1638</v>
      </c>
      <c r="D1723" s="26">
        <v>2007</v>
      </c>
      <c r="E1723" s="26">
        <v>2001</v>
      </c>
      <c r="F1723" s="26" t="s">
        <v>1639</v>
      </c>
      <c r="G1723" s="26" t="s">
        <v>1640</v>
      </c>
      <c r="H1723" s="26">
        <v>42.74</v>
      </c>
      <c r="I1723" s="26">
        <v>-84.48</v>
      </c>
      <c r="J1723" s="26">
        <v>260</v>
      </c>
      <c r="O1723" s="52"/>
      <c r="P1723" s="52">
        <v>2</v>
      </c>
      <c r="Q1723" s="52"/>
      <c r="R1723" s="52"/>
      <c r="S1723" s="52" t="s">
        <v>1578</v>
      </c>
      <c r="T1723" s="52" t="s">
        <v>1565</v>
      </c>
      <c r="U1723" s="52" t="s">
        <v>1593</v>
      </c>
      <c r="V1723" s="52" t="s">
        <v>1908</v>
      </c>
      <c r="Z1723" s="26" t="s">
        <v>167</v>
      </c>
      <c r="AE1723" s="26" t="s">
        <v>1727</v>
      </c>
      <c r="AF1723" s="152" t="s">
        <v>1761</v>
      </c>
      <c r="AG1723" s="26" t="s">
        <v>190</v>
      </c>
      <c r="AH1723" s="154" t="s">
        <v>1791</v>
      </c>
      <c r="AR1723" s="35" t="s">
        <v>192</v>
      </c>
      <c r="AS1723" s="35">
        <v>4</v>
      </c>
      <c r="AT1723" s="35">
        <v>4</v>
      </c>
      <c r="AU1723" s="35" t="s">
        <v>379</v>
      </c>
      <c r="BM1723" s="26">
        <v>3.4</v>
      </c>
      <c r="BN1723" s="26">
        <v>1.3</v>
      </c>
      <c r="BO1723" s="26" t="s">
        <v>1858</v>
      </c>
    </row>
    <row r="1724" spans="1:67" s="26" customFormat="1" x14ac:dyDescent="0.25">
      <c r="A1724" s="26">
        <v>82</v>
      </c>
      <c r="B1724" s="26" t="s">
        <v>1637</v>
      </c>
      <c r="C1724" s="26" t="s">
        <v>1638</v>
      </c>
      <c r="D1724" s="26">
        <v>2007</v>
      </c>
      <c r="E1724" s="26">
        <v>2001</v>
      </c>
      <c r="F1724" s="26" t="s">
        <v>1639</v>
      </c>
      <c r="G1724" s="26" t="s">
        <v>1640</v>
      </c>
      <c r="H1724" s="26">
        <v>42.74</v>
      </c>
      <c r="I1724" s="26">
        <v>-84.48</v>
      </c>
      <c r="J1724" s="26">
        <v>260</v>
      </c>
      <c r="O1724" s="52"/>
      <c r="P1724" s="52">
        <v>2</v>
      </c>
      <c r="Q1724" s="52"/>
      <c r="R1724" s="52"/>
      <c r="S1724" s="52" t="s">
        <v>1578</v>
      </c>
      <c r="T1724" s="52" t="s">
        <v>1565</v>
      </c>
      <c r="U1724" s="52" t="s">
        <v>1593</v>
      </c>
      <c r="V1724" s="52" t="s">
        <v>1908</v>
      </c>
      <c r="Z1724" s="26" t="s">
        <v>167</v>
      </c>
      <c r="AE1724" s="26" t="s">
        <v>1728</v>
      </c>
      <c r="AF1724" s="152" t="s">
        <v>1761</v>
      </c>
      <c r="AG1724" s="26" t="s">
        <v>190</v>
      </c>
      <c r="AH1724" s="154" t="s">
        <v>1791</v>
      </c>
      <c r="AR1724" s="35" t="s">
        <v>192</v>
      </c>
      <c r="AS1724" s="35">
        <v>4</v>
      </c>
      <c r="AT1724" s="35">
        <v>4</v>
      </c>
      <c r="AU1724" s="35" t="s">
        <v>379</v>
      </c>
      <c r="BM1724" s="26">
        <v>3.4</v>
      </c>
      <c r="BN1724" s="26">
        <v>1.2</v>
      </c>
      <c r="BO1724" s="26" t="s">
        <v>1858</v>
      </c>
    </row>
    <row r="1725" spans="1:67" s="26" customFormat="1" x14ac:dyDescent="0.25">
      <c r="A1725" s="26">
        <v>82</v>
      </c>
      <c r="B1725" s="26" t="s">
        <v>1637</v>
      </c>
      <c r="C1725" s="26" t="s">
        <v>1638</v>
      </c>
      <c r="D1725" s="26">
        <v>2007</v>
      </c>
      <c r="E1725" s="26">
        <v>2001</v>
      </c>
      <c r="F1725" s="26" t="s">
        <v>1639</v>
      </c>
      <c r="G1725" s="26" t="s">
        <v>1640</v>
      </c>
      <c r="H1725" s="26">
        <v>42.74</v>
      </c>
      <c r="I1725" s="26">
        <v>-84.48</v>
      </c>
      <c r="J1725" s="26">
        <v>260</v>
      </c>
      <c r="O1725" s="52"/>
      <c r="P1725" s="52">
        <v>2</v>
      </c>
      <c r="Q1725" s="52"/>
      <c r="R1725" s="52"/>
      <c r="S1725" s="52" t="s">
        <v>1578</v>
      </c>
      <c r="T1725" s="52" t="s">
        <v>1565</v>
      </c>
      <c r="U1725" s="52" t="s">
        <v>1593</v>
      </c>
      <c r="V1725" s="52" t="s">
        <v>1908</v>
      </c>
      <c r="Z1725" s="26" t="s">
        <v>167</v>
      </c>
      <c r="AE1725" s="26" t="s">
        <v>1729</v>
      </c>
      <c r="AF1725" s="152" t="s">
        <v>1761</v>
      </c>
      <c r="AG1725" s="26" t="s">
        <v>190</v>
      </c>
      <c r="AH1725" s="154" t="s">
        <v>1791</v>
      </c>
      <c r="AR1725" s="35" t="s">
        <v>192</v>
      </c>
      <c r="AS1725" s="35">
        <v>4</v>
      </c>
      <c r="AT1725" s="35">
        <v>4</v>
      </c>
      <c r="AU1725" s="35" t="s">
        <v>379</v>
      </c>
      <c r="BM1725" s="26">
        <v>3.4</v>
      </c>
      <c r="BN1725" s="26">
        <v>1.2</v>
      </c>
      <c r="BO1725" s="26" t="s">
        <v>1858</v>
      </c>
    </row>
    <row r="1726" spans="1:67" s="149" customFormat="1" x14ac:dyDescent="0.25">
      <c r="A1726" s="149">
        <v>82</v>
      </c>
      <c r="B1726" s="149" t="s">
        <v>1637</v>
      </c>
      <c r="C1726" s="149" t="s">
        <v>1638</v>
      </c>
      <c r="D1726" s="149">
        <v>2007</v>
      </c>
      <c r="E1726" s="149">
        <v>2001</v>
      </c>
      <c r="F1726" s="149" t="s">
        <v>1639</v>
      </c>
      <c r="G1726" s="149" t="s">
        <v>1640</v>
      </c>
      <c r="H1726" s="149">
        <v>42.74</v>
      </c>
      <c r="I1726" s="149">
        <v>-84.48</v>
      </c>
      <c r="J1726" s="149">
        <v>260</v>
      </c>
      <c r="O1726" s="150"/>
      <c r="P1726" s="150">
        <v>2</v>
      </c>
      <c r="Q1726" s="150"/>
      <c r="R1726" s="150"/>
      <c r="S1726" s="150" t="s">
        <v>1579</v>
      </c>
      <c r="T1726" s="150" t="s">
        <v>1565</v>
      </c>
      <c r="U1726" s="150" t="s">
        <v>1593</v>
      </c>
      <c r="V1726" s="150" t="s">
        <v>1908</v>
      </c>
      <c r="Z1726" s="149" t="s">
        <v>167</v>
      </c>
      <c r="AE1726" s="149" t="s">
        <v>144</v>
      </c>
      <c r="AF1726" s="152" t="s">
        <v>1761</v>
      </c>
      <c r="AG1726" s="149" t="s">
        <v>190</v>
      </c>
      <c r="AH1726" s="154" t="s">
        <v>1791</v>
      </c>
      <c r="AR1726" s="35" t="s">
        <v>192</v>
      </c>
      <c r="AS1726" s="35">
        <v>4</v>
      </c>
      <c r="AT1726" s="35">
        <v>4</v>
      </c>
      <c r="AU1726" s="35" t="s">
        <v>379</v>
      </c>
      <c r="BM1726" s="149">
        <v>2.7</v>
      </c>
      <c r="BN1726" s="149">
        <v>1.9</v>
      </c>
      <c r="BO1726" s="149" t="s">
        <v>1858</v>
      </c>
    </row>
    <row r="1727" spans="1:67" s="149" customFormat="1" x14ac:dyDescent="0.25">
      <c r="A1727" s="149">
        <v>82</v>
      </c>
      <c r="B1727" s="149" t="s">
        <v>1637</v>
      </c>
      <c r="C1727" s="149" t="s">
        <v>1638</v>
      </c>
      <c r="D1727" s="149">
        <v>2007</v>
      </c>
      <c r="E1727" s="149">
        <v>2001</v>
      </c>
      <c r="F1727" s="149" t="s">
        <v>1639</v>
      </c>
      <c r="G1727" s="149" t="s">
        <v>1640</v>
      </c>
      <c r="H1727" s="149">
        <v>42.74</v>
      </c>
      <c r="I1727" s="149">
        <v>-84.48</v>
      </c>
      <c r="J1727" s="149">
        <v>260</v>
      </c>
      <c r="O1727" s="150"/>
      <c r="P1727" s="150">
        <v>2</v>
      </c>
      <c r="Q1727" s="150"/>
      <c r="R1727" s="150"/>
      <c r="S1727" s="150" t="s">
        <v>1579</v>
      </c>
      <c r="T1727" s="150" t="s">
        <v>1565</v>
      </c>
      <c r="U1727" s="150" t="s">
        <v>1593</v>
      </c>
      <c r="V1727" s="150" t="s">
        <v>1908</v>
      </c>
      <c r="Z1727" s="149" t="s">
        <v>167</v>
      </c>
      <c r="AE1727" s="149" t="s">
        <v>159</v>
      </c>
      <c r="AF1727" s="152" t="s">
        <v>159</v>
      </c>
      <c r="AG1727" s="149" t="s">
        <v>190</v>
      </c>
      <c r="AH1727" s="154" t="s">
        <v>1791</v>
      </c>
      <c r="AR1727" s="35" t="s">
        <v>192</v>
      </c>
      <c r="AS1727" s="35">
        <v>4</v>
      </c>
      <c r="AT1727" s="35">
        <v>4</v>
      </c>
      <c r="AU1727" s="35" t="s">
        <v>379</v>
      </c>
      <c r="BM1727" s="149">
        <v>2.7</v>
      </c>
      <c r="BN1727" s="149">
        <v>1.9</v>
      </c>
      <c r="BO1727" s="149" t="s">
        <v>1858</v>
      </c>
    </row>
    <row r="1728" spans="1:67" s="149" customFormat="1" x14ac:dyDescent="0.25">
      <c r="A1728" s="149">
        <v>82</v>
      </c>
      <c r="B1728" s="149" t="s">
        <v>1637</v>
      </c>
      <c r="C1728" s="149" t="s">
        <v>1638</v>
      </c>
      <c r="D1728" s="149">
        <v>2007</v>
      </c>
      <c r="E1728" s="149">
        <v>2001</v>
      </c>
      <c r="F1728" s="149" t="s">
        <v>1639</v>
      </c>
      <c r="G1728" s="149" t="s">
        <v>1640</v>
      </c>
      <c r="H1728" s="149">
        <v>42.74</v>
      </c>
      <c r="I1728" s="149">
        <v>-84.48</v>
      </c>
      <c r="J1728" s="149">
        <v>260</v>
      </c>
      <c r="O1728" s="150"/>
      <c r="P1728" s="150">
        <v>2</v>
      </c>
      <c r="Q1728" s="150"/>
      <c r="R1728" s="150"/>
      <c r="S1728" s="150" t="s">
        <v>1579</v>
      </c>
      <c r="T1728" s="150" t="s">
        <v>1565</v>
      </c>
      <c r="U1728" s="150" t="s">
        <v>1593</v>
      </c>
      <c r="V1728" s="150" t="s">
        <v>1908</v>
      </c>
      <c r="Z1728" s="149" t="s">
        <v>167</v>
      </c>
      <c r="AE1728" s="149" t="s">
        <v>1725</v>
      </c>
      <c r="AF1728" s="152" t="s">
        <v>159</v>
      </c>
      <c r="AG1728" s="149" t="s">
        <v>190</v>
      </c>
      <c r="AH1728" s="154" t="s">
        <v>1791</v>
      </c>
      <c r="AR1728" s="35" t="s">
        <v>192</v>
      </c>
      <c r="AS1728" s="35">
        <v>4</v>
      </c>
      <c r="AT1728" s="35">
        <v>4</v>
      </c>
      <c r="AU1728" s="35" t="s">
        <v>379</v>
      </c>
      <c r="BM1728" s="149">
        <v>2.7</v>
      </c>
      <c r="BN1728" s="149">
        <v>1.8</v>
      </c>
      <c r="BO1728" s="149" t="s">
        <v>1858</v>
      </c>
    </row>
    <row r="1729" spans="1:67" s="149" customFormat="1" x14ac:dyDescent="0.25">
      <c r="A1729" s="149">
        <v>82</v>
      </c>
      <c r="B1729" s="149" t="s">
        <v>1637</v>
      </c>
      <c r="C1729" s="149" t="s">
        <v>1638</v>
      </c>
      <c r="D1729" s="149">
        <v>2007</v>
      </c>
      <c r="E1729" s="149">
        <v>2001</v>
      </c>
      <c r="F1729" s="149" t="s">
        <v>1639</v>
      </c>
      <c r="G1729" s="149" t="s">
        <v>1640</v>
      </c>
      <c r="H1729" s="149">
        <v>42.74</v>
      </c>
      <c r="I1729" s="149">
        <v>-84.48</v>
      </c>
      <c r="J1729" s="149">
        <v>260</v>
      </c>
      <c r="O1729" s="150"/>
      <c r="P1729" s="150">
        <v>2</v>
      </c>
      <c r="Q1729" s="150"/>
      <c r="R1729" s="150"/>
      <c r="S1729" s="150" t="s">
        <v>1579</v>
      </c>
      <c r="T1729" s="150" t="s">
        <v>1565</v>
      </c>
      <c r="U1729" s="150" t="s">
        <v>1593</v>
      </c>
      <c r="V1729" s="150" t="s">
        <v>1908</v>
      </c>
      <c r="Z1729" s="149" t="s">
        <v>167</v>
      </c>
      <c r="AE1729" s="149" t="s">
        <v>1726</v>
      </c>
      <c r="AF1729" s="152" t="s">
        <v>1761</v>
      </c>
      <c r="AG1729" s="149" t="s">
        <v>190</v>
      </c>
      <c r="AH1729" s="154" t="s">
        <v>1791</v>
      </c>
      <c r="AR1729" s="35" t="s">
        <v>192</v>
      </c>
      <c r="AS1729" s="35">
        <v>4</v>
      </c>
      <c r="AT1729" s="35">
        <v>4</v>
      </c>
      <c r="AU1729" s="35" t="s">
        <v>379</v>
      </c>
      <c r="BM1729" s="149">
        <v>2.7</v>
      </c>
      <c r="BN1729" s="149">
        <v>1.7</v>
      </c>
      <c r="BO1729" s="149" t="s">
        <v>1858</v>
      </c>
    </row>
    <row r="1730" spans="1:67" s="149" customFormat="1" x14ac:dyDescent="0.25">
      <c r="A1730" s="149">
        <v>82</v>
      </c>
      <c r="B1730" s="149" t="s">
        <v>1637</v>
      </c>
      <c r="C1730" s="149" t="s">
        <v>1638</v>
      </c>
      <c r="D1730" s="149">
        <v>2007</v>
      </c>
      <c r="E1730" s="149">
        <v>2001</v>
      </c>
      <c r="F1730" s="149" t="s">
        <v>1639</v>
      </c>
      <c r="G1730" s="149" t="s">
        <v>1640</v>
      </c>
      <c r="H1730" s="149">
        <v>42.74</v>
      </c>
      <c r="I1730" s="149">
        <v>-84.48</v>
      </c>
      <c r="J1730" s="149">
        <v>260</v>
      </c>
      <c r="O1730" s="150"/>
      <c r="P1730" s="150">
        <v>2</v>
      </c>
      <c r="Q1730" s="150"/>
      <c r="R1730" s="150"/>
      <c r="S1730" s="150" t="s">
        <v>1579</v>
      </c>
      <c r="T1730" s="150" t="s">
        <v>1565</v>
      </c>
      <c r="U1730" s="150" t="s">
        <v>1593</v>
      </c>
      <c r="V1730" s="150" t="s">
        <v>1908</v>
      </c>
      <c r="Z1730" s="149" t="s">
        <v>167</v>
      </c>
      <c r="AE1730" s="149" t="s">
        <v>1727</v>
      </c>
      <c r="AF1730" s="152" t="s">
        <v>1761</v>
      </c>
      <c r="AG1730" s="149" t="s">
        <v>190</v>
      </c>
      <c r="AH1730" s="154" t="s">
        <v>1791</v>
      </c>
      <c r="AR1730" s="35" t="s">
        <v>192</v>
      </c>
      <c r="AS1730" s="35">
        <v>4</v>
      </c>
      <c r="AT1730" s="35">
        <v>4</v>
      </c>
      <c r="AU1730" s="35" t="s">
        <v>379</v>
      </c>
      <c r="BM1730" s="149">
        <v>2.7</v>
      </c>
      <c r="BN1730" s="149">
        <v>1.6</v>
      </c>
      <c r="BO1730" s="149" t="s">
        <v>1858</v>
      </c>
    </row>
    <row r="1731" spans="1:67" s="149" customFormat="1" x14ac:dyDescent="0.25">
      <c r="A1731" s="149">
        <v>82</v>
      </c>
      <c r="B1731" s="149" t="s">
        <v>1637</v>
      </c>
      <c r="C1731" s="149" t="s">
        <v>1638</v>
      </c>
      <c r="D1731" s="149">
        <v>2007</v>
      </c>
      <c r="E1731" s="149">
        <v>2001</v>
      </c>
      <c r="F1731" s="149" t="s">
        <v>1639</v>
      </c>
      <c r="G1731" s="149" t="s">
        <v>1640</v>
      </c>
      <c r="H1731" s="149">
        <v>42.74</v>
      </c>
      <c r="I1731" s="149">
        <v>-84.48</v>
      </c>
      <c r="J1731" s="149">
        <v>260</v>
      </c>
      <c r="O1731" s="150"/>
      <c r="P1731" s="150">
        <v>2</v>
      </c>
      <c r="Q1731" s="150"/>
      <c r="R1731" s="150"/>
      <c r="S1731" s="150" t="s">
        <v>1579</v>
      </c>
      <c r="T1731" s="150" t="s">
        <v>1565</v>
      </c>
      <c r="U1731" s="150" t="s">
        <v>1593</v>
      </c>
      <c r="V1731" s="150" t="s">
        <v>1908</v>
      </c>
      <c r="Z1731" s="149" t="s">
        <v>167</v>
      </c>
      <c r="AE1731" s="149" t="s">
        <v>1728</v>
      </c>
      <c r="AF1731" s="152" t="s">
        <v>1761</v>
      </c>
      <c r="AG1731" s="149" t="s">
        <v>190</v>
      </c>
      <c r="AH1731" s="154" t="s">
        <v>1791</v>
      </c>
      <c r="AR1731" s="35" t="s">
        <v>192</v>
      </c>
      <c r="AS1731" s="35">
        <v>4</v>
      </c>
      <c r="AT1731" s="35">
        <v>4</v>
      </c>
      <c r="AU1731" s="35" t="s">
        <v>379</v>
      </c>
      <c r="BM1731" s="149">
        <v>2.7</v>
      </c>
      <c r="BN1731" s="149">
        <v>1.6</v>
      </c>
      <c r="BO1731" s="149" t="s">
        <v>1858</v>
      </c>
    </row>
    <row r="1732" spans="1:67" s="149" customFormat="1" x14ac:dyDescent="0.25">
      <c r="A1732" s="149">
        <v>82</v>
      </c>
      <c r="B1732" s="149" t="s">
        <v>1637</v>
      </c>
      <c r="C1732" s="149" t="s">
        <v>1638</v>
      </c>
      <c r="D1732" s="149">
        <v>2007</v>
      </c>
      <c r="E1732" s="149">
        <v>2001</v>
      </c>
      <c r="F1732" s="149" t="s">
        <v>1639</v>
      </c>
      <c r="G1732" s="149" t="s">
        <v>1640</v>
      </c>
      <c r="H1732" s="149">
        <v>42.74</v>
      </c>
      <c r="I1732" s="149">
        <v>-84.48</v>
      </c>
      <c r="J1732" s="149">
        <v>260</v>
      </c>
      <c r="O1732" s="150"/>
      <c r="P1732" s="150">
        <v>2</v>
      </c>
      <c r="Q1732" s="150"/>
      <c r="R1732" s="150"/>
      <c r="S1732" s="150" t="s">
        <v>1579</v>
      </c>
      <c r="T1732" s="150" t="s">
        <v>1565</v>
      </c>
      <c r="U1732" s="150" t="s">
        <v>1593</v>
      </c>
      <c r="V1732" s="150" t="s">
        <v>1908</v>
      </c>
      <c r="Z1732" s="149" t="s">
        <v>167</v>
      </c>
      <c r="AE1732" s="149" t="s">
        <v>1729</v>
      </c>
      <c r="AF1732" s="152" t="s">
        <v>1761</v>
      </c>
      <c r="AG1732" s="149" t="s">
        <v>190</v>
      </c>
      <c r="AH1732" s="154" t="s">
        <v>1791</v>
      </c>
      <c r="AR1732" s="35" t="s">
        <v>192</v>
      </c>
      <c r="AS1732" s="35">
        <v>4</v>
      </c>
      <c r="AT1732" s="35">
        <v>4</v>
      </c>
      <c r="AU1732" s="35" t="s">
        <v>379</v>
      </c>
      <c r="BM1732" s="149">
        <v>2.7</v>
      </c>
      <c r="BN1732" s="149">
        <v>1.6</v>
      </c>
      <c r="BO1732" s="149" t="s">
        <v>1858</v>
      </c>
    </row>
    <row r="1733" spans="1:67" s="35" customFormat="1" x14ac:dyDescent="0.25">
      <c r="A1733" s="35">
        <v>82</v>
      </c>
      <c r="B1733" s="35" t="s">
        <v>1637</v>
      </c>
      <c r="C1733" s="35" t="s">
        <v>1638</v>
      </c>
      <c r="D1733" s="35">
        <v>2007</v>
      </c>
      <c r="E1733" s="35">
        <v>2000</v>
      </c>
      <c r="F1733" s="35" t="s">
        <v>1639</v>
      </c>
      <c r="G1733" s="35" t="s">
        <v>1640</v>
      </c>
      <c r="H1733" s="35">
        <v>42.74</v>
      </c>
      <c r="I1733" s="35">
        <v>-84.48</v>
      </c>
      <c r="J1733" s="35">
        <v>260</v>
      </c>
      <c r="O1733" s="54"/>
      <c r="P1733" s="54">
        <v>1</v>
      </c>
      <c r="Q1733" s="54"/>
      <c r="R1733" s="54"/>
      <c r="S1733" s="54" t="s">
        <v>1565</v>
      </c>
      <c r="T1733" s="54" t="s">
        <v>1565</v>
      </c>
      <c r="U1733" s="54" t="s">
        <v>1593</v>
      </c>
      <c r="V1733" s="54" t="s">
        <v>1908</v>
      </c>
      <c r="Z1733" s="35" t="s">
        <v>167</v>
      </c>
      <c r="AE1733" s="35" t="s">
        <v>144</v>
      </c>
      <c r="AF1733" s="152" t="s">
        <v>1761</v>
      </c>
      <c r="AG1733" s="35" t="s">
        <v>160</v>
      </c>
      <c r="AH1733" s="154" t="s">
        <v>1791</v>
      </c>
      <c r="AR1733" s="35" t="s">
        <v>192</v>
      </c>
      <c r="AS1733" s="35">
        <v>4</v>
      </c>
      <c r="AT1733" s="35">
        <v>4</v>
      </c>
      <c r="AU1733" s="35" t="s">
        <v>379</v>
      </c>
      <c r="BM1733" s="35">
        <v>6.1</v>
      </c>
      <c r="BN1733" s="35">
        <v>6.4</v>
      </c>
      <c r="BO1733" s="35" t="s">
        <v>1858</v>
      </c>
    </row>
    <row r="1734" spans="1:67" s="35" customFormat="1" x14ac:dyDescent="0.25">
      <c r="A1734" s="35">
        <v>82</v>
      </c>
      <c r="B1734" s="35" t="s">
        <v>1637</v>
      </c>
      <c r="C1734" s="35" t="s">
        <v>1638</v>
      </c>
      <c r="D1734" s="35">
        <v>2007</v>
      </c>
      <c r="E1734" s="35">
        <v>2000</v>
      </c>
      <c r="F1734" s="35" t="s">
        <v>1639</v>
      </c>
      <c r="G1734" s="35" t="s">
        <v>1640</v>
      </c>
      <c r="H1734" s="35">
        <v>42.74</v>
      </c>
      <c r="I1734" s="35">
        <v>-84.48</v>
      </c>
      <c r="J1734" s="35">
        <v>260</v>
      </c>
      <c r="O1734" s="54"/>
      <c r="P1734" s="54">
        <v>1</v>
      </c>
      <c r="Q1734" s="54"/>
      <c r="R1734" s="54"/>
      <c r="S1734" s="54" t="s">
        <v>1565</v>
      </c>
      <c r="T1734" s="54" t="s">
        <v>1565</v>
      </c>
      <c r="U1734" s="54" t="s">
        <v>1593</v>
      </c>
      <c r="V1734" s="54" t="s">
        <v>1908</v>
      </c>
      <c r="Z1734" s="35" t="s">
        <v>167</v>
      </c>
      <c r="AE1734" s="35" t="s">
        <v>159</v>
      </c>
      <c r="AF1734" s="152" t="s">
        <v>159</v>
      </c>
      <c r="AG1734" s="35" t="s">
        <v>160</v>
      </c>
      <c r="AH1734" s="154" t="s">
        <v>1791</v>
      </c>
      <c r="AR1734" s="35" t="s">
        <v>192</v>
      </c>
      <c r="AS1734" s="35">
        <v>4</v>
      </c>
      <c r="AT1734" s="35">
        <v>4</v>
      </c>
      <c r="AU1734" s="35" t="s">
        <v>379</v>
      </c>
      <c r="BM1734" s="35">
        <v>6.1</v>
      </c>
      <c r="BN1734" s="35">
        <v>6.5</v>
      </c>
      <c r="BO1734" s="35" t="s">
        <v>1858</v>
      </c>
    </row>
    <row r="1735" spans="1:67" s="35" customFormat="1" x14ac:dyDescent="0.25">
      <c r="A1735" s="35">
        <v>82</v>
      </c>
      <c r="B1735" s="35" t="s">
        <v>1637</v>
      </c>
      <c r="C1735" s="35" t="s">
        <v>1638</v>
      </c>
      <c r="D1735" s="35">
        <v>2007</v>
      </c>
      <c r="E1735" s="35">
        <v>2000</v>
      </c>
      <c r="F1735" s="35" t="s">
        <v>1639</v>
      </c>
      <c r="G1735" s="35" t="s">
        <v>1640</v>
      </c>
      <c r="H1735" s="35">
        <v>42.74</v>
      </c>
      <c r="I1735" s="35">
        <v>-84.48</v>
      </c>
      <c r="J1735" s="35">
        <v>260</v>
      </c>
      <c r="O1735" s="54"/>
      <c r="P1735" s="54">
        <v>1</v>
      </c>
      <c r="Q1735" s="54"/>
      <c r="R1735" s="54"/>
      <c r="S1735" s="54" t="s">
        <v>1565</v>
      </c>
      <c r="T1735" s="54" t="s">
        <v>1565</v>
      </c>
      <c r="U1735" s="54" t="s">
        <v>1593</v>
      </c>
      <c r="V1735" s="54" t="s">
        <v>1908</v>
      </c>
      <c r="Z1735" s="35" t="s">
        <v>167</v>
      </c>
      <c r="AE1735" s="35" t="s">
        <v>1725</v>
      </c>
      <c r="AF1735" s="152" t="s">
        <v>159</v>
      </c>
      <c r="AG1735" s="35" t="s">
        <v>160</v>
      </c>
      <c r="AH1735" s="154" t="s">
        <v>1791</v>
      </c>
      <c r="AR1735" s="35" t="s">
        <v>192</v>
      </c>
      <c r="AS1735" s="35">
        <v>4</v>
      </c>
      <c r="AT1735" s="35">
        <v>4</v>
      </c>
      <c r="AU1735" s="35" t="s">
        <v>379</v>
      </c>
      <c r="BM1735" s="35">
        <v>6.1</v>
      </c>
      <c r="BN1735" s="35">
        <v>9.1</v>
      </c>
      <c r="BO1735" s="35" t="s">
        <v>1858</v>
      </c>
    </row>
    <row r="1736" spans="1:67" s="35" customFormat="1" x14ac:dyDescent="0.25">
      <c r="A1736" s="35">
        <v>82</v>
      </c>
      <c r="B1736" s="35" t="s">
        <v>1637</v>
      </c>
      <c r="C1736" s="35" t="s">
        <v>1638</v>
      </c>
      <c r="D1736" s="35">
        <v>2007</v>
      </c>
      <c r="E1736" s="35">
        <v>2000</v>
      </c>
      <c r="F1736" s="35" t="s">
        <v>1639</v>
      </c>
      <c r="G1736" s="35" t="s">
        <v>1640</v>
      </c>
      <c r="H1736" s="35">
        <v>42.74</v>
      </c>
      <c r="I1736" s="35">
        <v>-84.48</v>
      </c>
      <c r="J1736" s="35">
        <v>260</v>
      </c>
      <c r="O1736" s="54"/>
      <c r="P1736" s="54">
        <v>1</v>
      </c>
      <c r="Q1736" s="54"/>
      <c r="R1736" s="54"/>
      <c r="S1736" s="54" t="s">
        <v>1565</v>
      </c>
      <c r="T1736" s="54" t="s">
        <v>1565</v>
      </c>
      <c r="U1736" s="54" t="s">
        <v>1593</v>
      </c>
      <c r="V1736" s="54" t="s">
        <v>1908</v>
      </c>
      <c r="Z1736" s="35" t="s">
        <v>167</v>
      </c>
      <c r="AE1736" s="35" t="s">
        <v>1726</v>
      </c>
      <c r="AF1736" s="152" t="s">
        <v>1761</v>
      </c>
      <c r="AG1736" s="35" t="s">
        <v>160</v>
      </c>
      <c r="AH1736" s="154" t="s">
        <v>1791</v>
      </c>
      <c r="AR1736" s="35" t="s">
        <v>192</v>
      </c>
      <c r="AS1736" s="35">
        <v>4</v>
      </c>
      <c r="AT1736" s="35">
        <v>4</v>
      </c>
      <c r="AU1736" s="35" t="s">
        <v>379</v>
      </c>
      <c r="BM1736" s="35">
        <v>6.1</v>
      </c>
      <c r="BN1736" s="35">
        <v>6.7</v>
      </c>
      <c r="BO1736" s="35" t="s">
        <v>1858</v>
      </c>
    </row>
    <row r="1737" spans="1:67" s="35" customFormat="1" x14ac:dyDescent="0.25">
      <c r="A1737" s="35">
        <v>82</v>
      </c>
      <c r="B1737" s="35" t="s">
        <v>1637</v>
      </c>
      <c r="C1737" s="35" t="s">
        <v>1638</v>
      </c>
      <c r="D1737" s="35">
        <v>2007</v>
      </c>
      <c r="E1737" s="35">
        <v>2000</v>
      </c>
      <c r="F1737" s="35" t="s">
        <v>1639</v>
      </c>
      <c r="G1737" s="35" t="s">
        <v>1640</v>
      </c>
      <c r="H1737" s="35">
        <v>42.74</v>
      </c>
      <c r="I1737" s="35">
        <v>-84.48</v>
      </c>
      <c r="J1737" s="35">
        <v>260</v>
      </c>
      <c r="O1737" s="54"/>
      <c r="P1737" s="54">
        <v>1</v>
      </c>
      <c r="Q1737" s="54"/>
      <c r="R1737" s="54"/>
      <c r="S1737" s="54" t="s">
        <v>1565</v>
      </c>
      <c r="T1737" s="54" t="s">
        <v>1565</v>
      </c>
      <c r="U1737" s="54" t="s">
        <v>1593</v>
      </c>
      <c r="V1737" s="54" t="s">
        <v>1908</v>
      </c>
      <c r="Z1737" s="35" t="s">
        <v>167</v>
      </c>
      <c r="AE1737" s="35" t="s">
        <v>1727</v>
      </c>
      <c r="AF1737" s="152" t="s">
        <v>1761</v>
      </c>
      <c r="AG1737" s="35" t="s">
        <v>160</v>
      </c>
      <c r="AH1737" s="154" t="s">
        <v>1791</v>
      </c>
      <c r="AR1737" s="35" t="s">
        <v>192</v>
      </c>
      <c r="AS1737" s="35">
        <v>4</v>
      </c>
      <c r="AT1737" s="35">
        <v>4</v>
      </c>
      <c r="AU1737" s="35" t="s">
        <v>379</v>
      </c>
      <c r="BM1737" s="35">
        <v>6.1</v>
      </c>
      <c r="BN1737" s="35">
        <v>5.7</v>
      </c>
      <c r="BO1737" s="35" t="s">
        <v>1858</v>
      </c>
    </row>
    <row r="1738" spans="1:67" s="35" customFormat="1" x14ac:dyDescent="0.25">
      <c r="A1738" s="35">
        <v>82</v>
      </c>
      <c r="B1738" s="35" t="s">
        <v>1637</v>
      </c>
      <c r="C1738" s="35" t="s">
        <v>1638</v>
      </c>
      <c r="D1738" s="35">
        <v>2007</v>
      </c>
      <c r="E1738" s="35">
        <v>2000</v>
      </c>
      <c r="F1738" s="35" t="s">
        <v>1639</v>
      </c>
      <c r="G1738" s="35" t="s">
        <v>1640</v>
      </c>
      <c r="H1738" s="35">
        <v>42.74</v>
      </c>
      <c r="I1738" s="35">
        <v>-84.48</v>
      </c>
      <c r="J1738" s="35">
        <v>260</v>
      </c>
      <c r="O1738" s="54"/>
      <c r="P1738" s="54">
        <v>1</v>
      </c>
      <c r="Q1738" s="54"/>
      <c r="R1738" s="54"/>
      <c r="S1738" s="54" t="s">
        <v>1565</v>
      </c>
      <c r="T1738" s="54" t="s">
        <v>1565</v>
      </c>
      <c r="U1738" s="54" t="s">
        <v>1593</v>
      </c>
      <c r="V1738" s="54" t="s">
        <v>1908</v>
      </c>
      <c r="Z1738" s="35" t="s">
        <v>167</v>
      </c>
      <c r="AE1738" s="35" t="s">
        <v>1728</v>
      </c>
      <c r="AF1738" s="152" t="s">
        <v>1761</v>
      </c>
      <c r="AG1738" s="35" t="s">
        <v>160</v>
      </c>
      <c r="AH1738" s="154" t="s">
        <v>1791</v>
      </c>
      <c r="AR1738" s="35" t="s">
        <v>192</v>
      </c>
      <c r="AS1738" s="35">
        <v>4</v>
      </c>
      <c r="AT1738" s="35">
        <v>4</v>
      </c>
      <c r="AU1738" s="35" t="s">
        <v>379</v>
      </c>
      <c r="BM1738" s="35">
        <v>6.1</v>
      </c>
      <c r="BN1738" s="35">
        <v>5</v>
      </c>
      <c r="BO1738" s="35" t="s">
        <v>1858</v>
      </c>
    </row>
    <row r="1739" spans="1:67" s="35" customFormat="1" x14ac:dyDescent="0.25">
      <c r="A1739" s="35">
        <v>82</v>
      </c>
      <c r="B1739" s="35" t="s">
        <v>1637</v>
      </c>
      <c r="C1739" s="35" t="s">
        <v>1638</v>
      </c>
      <c r="D1739" s="35">
        <v>2007</v>
      </c>
      <c r="E1739" s="35">
        <v>2000</v>
      </c>
      <c r="F1739" s="35" t="s">
        <v>1639</v>
      </c>
      <c r="G1739" s="35" t="s">
        <v>1640</v>
      </c>
      <c r="H1739" s="35">
        <v>42.74</v>
      </c>
      <c r="I1739" s="35">
        <v>-84.48</v>
      </c>
      <c r="J1739" s="35">
        <v>260</v>
      </c>
      <c r="O1739" s="54"/>
      <c r="P1739" s="54">
        <v>1</v>
      </c>
      <c r="Q1739" s="54"/>
      <c r="R1739" s="54"/>
      <c r="S1739" s="54" t="s">
        <v>1565</v>
      </c>
      <c r="T1739" s="54" t="s">
        <v>1565</v>
      </c>
      <c r="U1739" s="54" t="s">
        <v>1593</v>
      </c>
      <c r="V1739" s="54" t="s">
        <v>1908</v>
      </c>
      <c r="Z1739" s="35" t="s">
        <v>167</v>
      </c>
      <c r="AE1739" s="35" t="s">
        <v>1729</v>
      </c>
      <c r="AF1739" s="152" t="s">
        <v>1761</v>
      </c>
      <c r="AG1739" s="35" t="s">
        <v>160</v>
      </c>
      <c r="AH1739" s="154" t="s">
        <v>1791</v>
      </c>
      <c r="AR1739" s="35" t="s">
        <v>192</v>
      </c>
      <c r="AS1739" s="35">
        <v>4</v>
      </c>
      <c r="AT1739" s="35">
        <v>4</v>
      </c>
      <c r="AU1739" s="35" t="s">
        <v>379</v>
      </c>
      <c r="BM1739" s="35">
        <v>6.1</v>
      </c>
      <c r="BN1739" s="35">
        <v>4.5999999999999996</v>
      </c>
      <c r="BO1739" s="35" t="s">
        <v>1858</v>
      </c>
    </row>
    <row r="1740" spans="1:67" s="147" customFormat="1" x14ac:dyDescent="0.25">
      <c r="A1740" s="147">
        <v>82</v>
      </c>
      <c r="B1740" s="147" t="s">
        <v>1637</v>
      </c>
      <c r="C1740" s="147" t="s">
        <v>1638</v>
      </c>
      <c r="D1740" s="147">
        <v>2007</v>
      </c>
      <c r="E1740" s="147">
        <v>2000</v>
      </c>
      <c r="F1740" s="147" t="s">
        <v>1639</v>
      </c>
      <c r="G1740" s="147" t="s">
        <v>1640</v>
      </c>
      <c r="H1740" s="147">
        <v>42.74</v>
      </c>
      <c r="I1740" s="147">
        <v>-84.48</v>
      </c>
      <c r="J1740" s="147">
        <v>260</v>
      </c>
      <c r="O1740" s="148"/>
      <c r="P1740" s="148">
        <v>1</v>
      </c>
      <c r="Q1740" s="148"/>
      <c r="R1740" s="148"/>
      <c r="S1740" s="148" t="s">
        <v>1578</v>
      </c>
      <c r="T1740" s="148" t="s">
        <v>1565</v>
      </c>
      <c r="U1740" s="148" t="s">
        <v>1593</v>
      </c>
      <c r="V1740" s="148" t="s">
        <v>1908</v>
      </c>
      <c r="Z1740" s="147" t="s">
        <v>167</v>
      </c>
      <c r="AE1740" s="147" t="s">
        <v>144</v>
      </c>
      <c r="AF1740" s="152" t="s">
        <v>1761</v>
      </c>
      <c r="AG1740" s="147" t="s">
        <v>160</v>
      </c>
      <c r="AH1740" s="154" t="s">
        <v>1791</v>
      </c>
      <c r="AR1740" s="35" t="s">
        <v>192</v>
      </c>
      <c r="AS1740" s="35">
        <v>4</v>
      </c>
      <c r="AT1740" s="35">
        <v>4</v>
      </c>
      <c r="AU1740" s="35" t="s">
        <v>379</v>
      </c>
      <c r="BM1740" s="147">
        <v>5.7</v>
      </c>
      <c r="BN1740" s="147">
        <v>5.3</v>
      </c>
      <c r="BO1740" s="35" t="s">
        <v>1858</v>
      </c>
    </row>
    <row r="1741" spans="1:67" s="147" customFormat="1" x14ac:dyDescent="0.25">
      <c r="A1741" s="147">
        <v>82</v>
      </c>
      <c r="B1741" s="147" t="s">
        <v>1637</v>
      </c>
      <c r="C1741" s="147" t="s">
        <v>1638</v>
      </c>
      <c r="D1741" s="147">
        <v>2007</v>
      </c>
      <c r="E1741" s="147">
        <v>2000</v>
      </c>
      <c r="F1741" s="147" t="s">
        <v>1639</v>
      </c>
      <c r="G1741" s="147" t="s">
        <v>1640</v>
      </c>
      <c r="H1741" s="147">
        <v>42.74</v>
      </c>
      <c r="I1741" s="147">
        <v>-84.48</v>
      </c>
      <c r="J1741" s="147">
        <v>260</v>
      </c>
      <c r="O1741" s="148"/>
      <c r="P1741" s="148">
        <v>1</v>
      </c>
      <c r="Q1741" s="148"/>
      <c r="R1741" s="148"/>
      <c r="S1741" s="148" t="s">
        <v>1578</v>
      </c>
      <c r="T1741" s="148" t="s">
        <v>1565</v>
      </c>
      <c r="U1741" s="148" t="s">
        <v>1593</v>
      </c>
      <c r="V1741" s="148" t="s">
        <v>1908</v>
      </c>
      <c r="Z1741" s="147" t="s">
        <v>167</v>
      </c>
      <c r="AE1741" s="147" t="s">
        <v>159</v>
      </c>
      <c r="AF1741" s="152" t="s">
        <v>159</v>
      </c>
      <c r="AG1741" s="147" t="s">
        <v>160</v>
      </c>
      <c r="AH1741" s="154" t="s">
        <v>1791</v>
      </c>
      <c r="AR1741" s="35" t="s">
        <v>192</v>
      </c>
      <c r="AS1741" s="35">
        <v>4</v>
      </c>
      <c r="AT1741" s="35">
        <v>4</v>
      </c>
      <c r="AU1741" s="35" t="s">
        <v>379</v>
      </c>
      <c r="BM1741" s="147">
        <v>5.7</v>
      </c>
      <c r="BN1741" s="147">
        <v>4.4000000000000004</v>
      </c>
      <c r="BO1741" s="35" t="s">
        <v>1858</v>
      </c>
    </row>
    <row r="1742" spans="1:67" s="147" customFormat="1" x14ac:dyDescent="0.25">
      <c r="A1742" s="147">
        <v>82</v>
      </c>
      <c r="B1742" s="147" t="s">
        <v>1637</v>
      </c>
      <c r="C1742" s="147" t="s">
        <v>1638</v>
      </c>
      <c r="D1742" s="147">
        <v>2007</v>
      </c>
      <c r="E1742" s="147">
        <v>2000</v>
      </c>
      <c r="F1742" s="147" t="s">
        <v>1639</v>
      </c>
      <c r="G1742" s="147" t="s">
        <v>1640</v>
      </c>
      <c r="H1742" s="147">
        <v>42.74</v>
      </c>
      <c r="I1742" s="147">
        <v>-84.48</v>
      </c>
      <c r="J1742" s="147">
        <v>260</v>
      </c>
      <c r="O1742" s="148"/>
      <c r="P1742" s="148">
        <v>1</v>
      </c>
      <c r="Q1742" s="148"/>
      <c r="R1742" s="148"/>
      <c r="S1742" s="148" t="s">
        <v>1578</v>
      </c>
      <c r="T1742" s="148" t="s">
        <v>1565</v>
      </c>
      <c r="U1742" s="148" t="s">
        <v>1593</v>
      </c>
      <c r="V1742" s="148" t="s">
        <v>1908</v>
      </c>
      <c r="Z1742" s="147" t="s">
        <v>167</v>
      </c>
      <c r="AE1742" s="147" t="s">
        <v>1725</v>
      </c>
      <c r="AF1742" s="152" t="s">
        <v>159</v>
      </c>
      <c r="AG1742" s="147" t="s">
        <v>160</v>
      </c>
      <c r="AH1742" s="154" t="s">
        <v>1791</v>
      </c>
      <c r="AR1742" s="35" t="s">
        <v>192</v>
      </c>
      <c r="AS1742" s="35">
        <v>4</v>
      </c>
      <c r="AT1742" s="35">
        <v>4</v>
      </c>
      <c r="AU1742" s="35" t="s">
        <v>379</v>
      </c>
      <c r="BM1742" s="147">
        <v>5.7</v>
      </c>
      <c r="BN1742" s="147">
        <v>3.2</v>
      </c>
      <c r="BO1742" s="35" t="s">
        <v>1858</v>
      </c>
    </row>
    <row r="1743" spans="1:67" s="147" customFormat="1" x14ac:dyDescent="0.25">
      <c r="A1743" s="147">
        <v>82</v>
      </c>
      <c r="B1743" s="147" t="s">
        <v>1637</v>
      </c>
      <c r="C1743" s="147" t="s">
        <v>1638</v>
      </c>
      <c r="D1743" s="147">
        <v>2007</v>
      </c>
      <c r="E1743" s="147">
        <v>2000</v>
      </c>
      <c r="F1743" s="147" t="s">
        <v>1639</v>
      </c>
      <c r="G1743" s="147" t="s">
        <v>1640</v>
      </c>
      <c r="H1743" s="147">
        <v>42.74</v>
      </c>
      <c r="I1743" s="147">
        <v>-84.48</v>
      </c>
      <c r="J1743" s="147">
        <v>260</v>
      </c>
      <c r="O1743" s="148"/>
      <c r="P1743" s="148">
        <v>1</v>
      </c>
      <c r="Q1743" s="148"/>
      <c r="R1743" s="148"/>
      <c r="S1743" s="148" t="s">
        <v>1578</v>
      </c>
      <c r="T1743" s="148" t="s">
        <v>1565</v>
      </c>
      <c r="U1743" s="148" t="s">
        <v>1593</v>
      </c>
      <c r="V1743" s="148" t="s">
        <v>1908</v>
      </c>
      <c r="Z1743" s="147" t="s">
        <v>167</v>
      </c>
      <c r="AE1743" s="147" t="s">
        <v>1726</v>
      </c>
      <c r="AF1743" s="152" t="s">
        <v>1761</v>
      </c>
      <c r="AG1743" s="147" t="s">
        <v>160</v>
      </c>
      <c r="AH1743" s="154" t="s">
        <v>1791</v>
      </c>
      <c r="AR1743" s="35" t="s">
        <v>192</v>
      </c>
      <c r="AS1743" s="35">
        <v>4</v>
      </c>
      <c r="AT1743" s="35">
        <v>4</v>
      </c>
      <c r="AU1743" s="35" t="s">
        <v>379</v>
      </c>
      <c r="BM1743" s="147">
        <v>5.7</v>
      </c>
      <c r="BN1743" s="147">
        <v>3.3</v>
      </c>
      <c r="BO1743" s="35" t="s">
        <v>1858</v>
      </c>
    </row>
    <row r="1744" spans="1:67" s="147" customFormat="1" x14ac:dyDescent="0.25">
      <c r="A1744" s="147">
        <v>82</v>
      </c>
      <c r="B1744" s="147" t="s">
        <v>1637</v>
      </c>
      <c r="C1744" s="147" t="s">
        <v>1638</v>
      </c>
      <c r="D1744" s="147">
        <v>2007</v>
      </c>
      <c r="E1744" s="147">
        <v>2000</v>
      </c>
      <c r="F1744" s="147" t="s">
        <v>1639</v>
      </c>
      <c r="G1744" s="147" t="s">
        <v>1640</v>
      </c>
      <c r="H1744" s="147">
        <v>42.74</v>
      </c>
      <c r="I1744" s="147">
        <v>-84.48</v>
      </c>
      <c r="J1744" s="147">
        <v>260</v>
      </c>
      <c r="O1744" s="148"/>
      <c r="P1744" s="148">
        <v>1</v>
      </c>
      <c r="Q1744" s="148"/>
      <c r="R1744" s="148"/>
      <c r="S1744" s="148" t="s">
        <v>1578</v>
      </c>
      <c r="T1744" s="148" t="s">
        <v>1565</v>
      </c>
      <c r="U1744" s="148" t="s">
        <v>1593</v>
      </c>
      <c r="V1744" s="148" t="s">
        <v>1908</v>
      </c>
      <c r="Z1744" s="147" t="s">
        <v>167</v>
      </c>
      <c r="AE1744" s="147" t="s">
        <v>1727</v>
      </c>
      <c r="AF1744" s="152" t="s">
        <v>1761</v>
      </c>
      <c r="AG1744" s="147" t="s">
        <v>160</v>
      </c>
      <c r="AH1744" s="154" t="s">
        <v>1791</v>
      </c>
      <c r="AR1744" s="35" t="s">
        <v>192</v>
      </c>
      <c r="AS1744" s="35">
        <v>4</v>
      </c>
      <c r="AT1744" s="35">
        <v>4</v>
      </c>
      <c r="AU1744" s="35" t="s">
        <v>379</v>
      </c>
      <c r="BM1744" s="147">
        <v>5.7</v>
      </c>
      <c r="BN1744" s="147">
        <v>2.2999999999999998</v>
      </c>
      <c r="BO1744" s="35" t="s">
        <v>1858</v>
      </c>
    </row>
    <row r="1745" spans="1:67" s="147" customFormat="1" x14ac:dyDescent="0.25">
      <c r="A1745" s="147">
        <v>82</v>
      </c>
      <c r="B1745" s="147" t="s">
        <v>1637</v>
      </c>
      <c r="C1745" s="147" t="s">
        <v>1638</v>
      </c>
      <c r="D1745" s="147">
        <v>2007</v>
      </c>
      <c r="E1745" s="147">
        <v>2000</v>
      </c>
      <c r="F1745" s="147" t="s">
        <v>1639</v>
      </c>
      <c r="G1745" s="147" t="s">
        <v>1640</v>
      </c>
      <c r="H1745" s="147">
        <v>42.74</v>
      </c>
      <c r="I1745" s="147">
        <v>-84.48</v>
      </c>
      <c r="J1745" s="147">
        <v>260</v>
      </c>
      <c r="O1745" s="148"/>
      <c r="P1745" s="148">
        <v>1</v>
      </c>
      <c r="Q1745" s="148"/>
      <c r="R1745" s="148"/>
      <c r="S1745" s="148" t="s">
        <v>1578</v>
      </c>
      <c r="T1745" s="148" t="s">
        <v>1565</v>
      </c>
      <c r="U1745" s="148" t="s">
        <v>1593</v>
      </c>
      <c r="V1745" s="148" t="s">
        <v>1908</v>
      </c>
      <c r="Z1745" s="147" t="s">
        <v>167</v>
      </c>
      <c r="AE1745" s="147" t="s">
        <v>1728</v>
      </c>
      <c r="AF1745" s="152" t="s">
        <v>1761</v>
      </c>
      <c r="AG1745" s="147" t="s">
        <v>160</v>
      </c>
      <c r="AH1745" s="154" t="s">
        <v>1791</v>
      </c>
      <c r="AR1745" s="35" t="s">
        <v>192</v>
      </c>
      <c r="AS1745" s="35">
        <v>4</v>
      </c>
      <c r="AT1745" s="35">
        <v>4</v>
      </c>
      <c r="AU1745" s="35" t="s">
        <v>379</v>
      </c>
      <c r="BM1745" s="147">
        <v>5.7</v>
      </c>
      <c r="BN1745" s="147">
        <v>2.5</v>
      </c>
      <c r="BO1745" s="35" t="s">
        <v>1858</v>
      </c>
    </row>
    <row r="1746" spans="1:67" s="147" customFormat="1" x14ac:dyDescent="0.25">
      <c r="A1746" s="147">
        <v>82</v>
      </c>
      <c r="B1746" s="147" t="s">
        <v>1637</v>
      </c>
      <c r="C1746" s="147" t="s">
        <v>1638</v>
      </c>
      <c r="D1746" s="147">
        <v>2007</v>
      </c>
      <c r="E1746" s="147">
        <v>2000</v>
      </c>
      <c r="F1746" s="147" t="s">
        <v>1639</v>
      </c>
      <c r="G1746" s="147" t="s">
        <v>1640</v>
      </c>
      <c r="H1746" s="147">
        <v>42.74</v>
      </c>
      <c r="I1746" s="147">
        <v>-84.48</v>
      </c>
      <c r="J1746" s="147">
        <v>260</v>
      </c>
      <c r="O1746" s="148"/>
      <c r="P1746" s="148">
        <v>1</v>
      </c>
      <c r="Q1746" s="148"/>
      <c r="R1746" s="148"/>
      <c r="S1746" s="148" t="s">
        <v>1578</v>
      </c>
      <c r="T1746" s="148" t="s">
        <v>1565</v>
      </c>
      <c r="U1746" s="148" t="s">
        <v>1593</v>
      </c>
      <c r="V1746" s="148" t="s">
        <v>1908</v>
      </c>
      <c r="Z1746" s="147" t="s">
        <v>167</v>
      </c>
      <c r="AE1746" s="147" t="s">
        <v>1729</v>
      </c>
      <c r="AF1746" s="152" t="s">
        <v>1761</v>
      </c>
      <c r="AG1746" s="147" t="s">
        <v>160</v>
      </c>
      <c r="AH1746" s="154" t="s">
        <v>1791</v>
      </c>
      <c r="AR1746" s="35" t="s">
        <v>192</v>
      </c>
      <c r="AS1746" s="35">
        <v>4</v>
      </c>
      <c r="AT1746" s="35">
        <v>4</v>
      </c>
      <c r="AU1746" s="35" t="s">
        <v>379</v>
      </c>
      <c r="BM1746" s="147">
        <v>5.7</v>
      </c>
      <c r="BN1746" s="147">
        <v>1.8</v>
      </c>
      <c r="BO1746" s="35" t="s">
        <v>1858</v>
      </c>
    </row>
    <row r="1747" spans="1:67" s="35" customFormat="1" x14ac:dyDescent="0.25">
      <c r="A1747" s="35">
        <v>82</v>
      </c>
      <c r="B1747" s="35" t="s">
        <v>1637</v>
      </c>
      <c r="C1747" s="35" t="s">
        <v>1638</v>
      </c>
      <c r="D1747" s="35">
        <v>2007</v>
      </c>
      <c r="E1747" s="35">
        <v>2000</v>
      </c>
      <c r="F1747" s="35" t="s">
        <v>1639</v>
      </c>
      <c r="G1747" s="35" t="s">
        <v>1640</v>
      </c>
      <c r="H1747" s="35">
        <v>42.74</v>
      </c>
      <c r="I1747" s="35">
        <v>-84.48</v>
      </c>
      <c r="J1747" s="35">
        <v>260</v>
      </c>
      <c r="O1747" s="54"/>
      <c r="P1747" s="54">
        <v>1</v>
      </c>
      <c r="Q1747" s="54"/>
      <c r="R1747" s="54"/>
      <c r="S1747" s="54" t="s">
        <v>1579</v>
      </c>
      <c r="T1747" s="54" t="s">
        <v>1565</v>
      </c>
      <c r="U1747" s="54" t="s">
        <v>1593</v>
      </c>
      <c r="V1747" s="54" t="s">
        <v>1908</v>
      </c>
      <c r="Z1747" s="35" t="s">
        <v>167</v>
      </c>
      <c r="AE1747" s="35" t="s">
        <v>144</v>
      </c>
      <c r="AF1747" s="152" t="s">
        <v>1761</v>
      </c>
      <c r="AG1747" s="35" t="s">
        <v>160</v>
      </c>
      <c r="AH1747" s="154" t="s">
        <v>1791</v>
      </c>
      <c r="AR1747" s="35" t="s">
        <v>192</v>
      </c>
      <c r="AS1747" s="35">
        <v>4</v>
      </c>
      <c r="AT1747" s="35">
        <v>4</v>
      </c>
      <c r="AU1747" s="35" t="s">
        <v>379</v>
      </c>
      <c r="BM1747" s="35">
        <v>7.8</v>
      </c>
      <c r="BN1747" s="35">
        <v>4.0999999999999996</v>
      </c>
      <c r="BO1747" s="35" t="s">
        <v>1858</v>
      </c>
    </row>
    <row r="1748" spans="1:67" s="35" customFormat="1" x14ac:dyDescent="0.25">
      <c r="A1748" s="35">
        <v>82</v>
      </c>
      <c r="B1748" s="35" t="s">
        <v>1637</v>
      </c>
      <c r="C1748" s="35" t="s">
        <v>1638</v>
      </c>
      <c r="D1748" s="35">
        <v>2007</v>
      </c>
      <c r="E1748" s="35">
        <v>2000</v>
      </c>
      <c r="F1748" s="35" t="s">
        <v>1639</v>
      </c>
      <c r="G1748" s="35" t="s">
        <v>1640</v>
      </c>
      <c r="H1748" s="35">
        <v>42.74</v>
      </c>
      <c r="I1748" s="35">
        <v>-84.48</v>
      </c>
      <c r="J1748" s="35">
        <v>260</v>
      </c>
      <c r="O1748" s="54"/>
      <c r="P1748" s="54">
        <v>1</v>
      </c>
      <c r="Q1748" s="54"/>
      <c r="R1748" s="54"/>
      <c r="S1748" s="54" t="s">
        <v>1579</v>
      </c>
      <c r="T1748" s="54" t="s">
        <v>1565</v>
      </c>
      <c r="U1748" s="54" t="s">
        <v>1593</v>
      </c>
      <c r="V1748" s="54" t="s">
        <v>1908</v>
      </c>
      <c r="Z1748" s="35" t="s">
        <v>167</v>
      </c>
      <c r="AE1748" s="35" t="s">
        <v>159</v>
      </c>
      <c r="AF1748" s="152" t="s">
        <v>159</v>
      </c>
      <c r="AG1748" s="35" t="s">
        <v>160</v>
      </c>
      <c r="AH1748" s="154" t="s">
        <v>1791</v>
      </c>
      <c r="AR1748" s="35" t="s">
        <v>192</v>
      </c>
      <c r="AS1748" s="35">
        <v>4</v>
      </c>
      <c r="AT1748" s="35">
        <v>4</v>
      </c>
      <c r="AU1748" s="35" t="s">
        <v>379</v>
      </c>
      <c r="BM1748" s="35">
        <v>7.8</v>
      </c>
      <c r="BN1748" s="35">
        <v>2.8</v>
      </c>
      <c r="BO1748" s="35" t="s">
        <v>1858</v>
      </c>
    </row>
    <row r="1749" spans="1:67" s="35" customFormat="1" x14ac:dyDescent="0.25">
      <c r="A1749" s="35">
        <v>82</v>
      </c>
      <c r="B1749" s="35" t="s">
        <v>1637</v>
      </c>
      <c r="C1749" s="35" t="s">
        <v>1638</v>
      </c>
      <c r="D1749" s="35">
        <v>2007</v>
      </c>
      <c r="E1749" s="35">
        <v>2000</v>
      </c>
      <c r="F1749" s="35" t="s">
        <v>1639</v>
      </c>
      <c r="G1749" s="35" t="s">
        <v>1640</v>
      </c>
      <c r="H1749" s="35">
        <v>42.74</v>
      </c>
      <c r="I1749" s="35">
        <v>-84.48</v>
      </c>
      <c r="J1749" s="35">
        <v>260</v>
      </c>
      <c r="O1749" s="54"/>
      <c r="P1749" s="54">
        <v>1</v>
      </c>
      <c r="Q1749" s="54"/>
      <c r="R1749" s="54"/>
      <c r="S1749" s="54" t="s">
        <v>1579</v>
      </c>
      <c r="T1749" s="54" t="s">
        <v>1565</v>
      </c>
      <c r="U1749" s="54" t="s">
        <v>1593</v>
      </c>
      <c r="V1749" s="54" t="s">
        <v>1908</v>
      </c>
      <c r="Z1749" s="35" t="s">
        <v>167</v>
      </c>
      <c r="AE1749" s="35" t="s">
        <v>1725</v>
      </c>
      <c r="AF1749" s="152" t="s">
        <v>159</v>
      </c>
      <c r="AG1749" s="35" t="s">
        <v>160</v>
      </c>
      <c r="AH1749" s="154" t="s">
        <v>1791</v>
      </c>
      <c r="AR1749" s="35" t="s">
        <v>192</v>
      </c>
      <c r="AS1749" s="35">
        <v>4</v>
      </c>
      <c r="AT1749" s="35">
        <v>4</v>
      </c>
      <c r="AU1749" s="35" t="s">
        <v>379</v>
      </c>
      <c r="BM1749" s="35">
        <v>7.8</v>
      </c>
      <c r="BN1749" s="35">
        <v>1.9</v>
      </c>
      <c r="BO1749" s="35" t="s">
        <v>1858</v>
      </c>
    </row>
    <row r="1750" spans="1:67" s="35" customFormat="1" x14ac:dyDescent="0.25">
      <c r="A1750" s="35">
        <v>82</v>
      </c>
      <c r="B1750" s="35" t="s">
        <v>1637</v>
      </c>
      <c r="C1750" s="35" t="s">
        <v>1638</v>
      </c>
      <c r="D1750" s="35">
        <v>2007</v>
      </c>
      <c r="E1750" s="35">
        <v>2000</v>
      </c>
      <c r="F1750" s="35" t="s">
        <v>1639</v>
      </c>
      <c r="G1750" s="35" t="s">
        <v>1640</v>
      </c>
      <c r="H1750" s="35">
        <v>42.74</v>
      </c>
      <c r="I1750" s="35">
        <v>-84.48</v>
      </c>
      <c r="J1750" s="35">
        <v>260</v>
      </c>
      <c r="O1750" s="54"/>
      <c r="P1750" s="54">
        <v>1</v>
      </c>
      <c r="Q1750" s="54"/>
      <c r="R1750" s="54"/>
      <c r="S1750" s="54" t="s">
        <v>1579</v>
      </c>
      <c r="T1750" s="54" t="s">
        <v>1565</v>
      </c>
      <c r="U1750" s="54" t="s">
        <v>1593</v>
      </c>
      <c r="V1750" s="54" t="s">
        <v>1908</v>
      </c>
      <c r="Z1750" s="35" t="s">
        <v>167</v>
      </c>
      <c r="AE1750" s="35" t="s">
        <v>1726</v>
      </c>
      <c r="AF1750" s="152" t="s">
        <v>1761</v>
      </c>
      <c r="AG1750" s="35" t="s">
        <v>160</v>
      </c>
      <c r="AH1750" s="154" t="s">
        <v>1791</v>
      </c>
      <c r="AR1750" s="35" t="s">
        <v>192</v>
      </c>
      <c r="AS1750" s="35">
        <v>4</v>
      </c>
      <c r="AT1750" s="35">
        <v>4</v>
      </c>
      <c r="AU1750" s="35" t="s">
        <v>379</v>
      </c>
      <c r="BM1750" s="35">
        <v>7.8</v>
      </c>
      <c r="BN1750" s="35">
        <v>3.4</v>
      </c>
      <c r="BO1750" s="35" t="s">
        <v>1858</v>
      </c>
    </row>
    <row r="1751" spans="1:67" s="35" customFormat="1" x14ac:dyDescent="0.25">
      <c r="A1751" s="35">
        <v>82</v>
      </c>
      <c r="B1751" s="35" t="s">
        <v>1637</v>
      </c>
      <c r="C1751" s="35" t="s">
        <v>1638</v>
      </c>
      <c r="D1751" s="35">
        <v>2007</v>
      </c>
      <c r="E1751" s="35">
        <v>2000</v>
      </c>
      <c r="F1751" s="35" t="s">
        <v>1639</v>
      </c>
      <c r="G1751" s="35" t="s">
        <v>1640</v>
      </c>
      <c r="H1751" s="35">
        <v>42.74</v>
      </c>
      <c r="I1751" s="35">
        <v>-84.48</v>
      </c>
      <c r="J1751" s="35">
        <v>260</v>
      </c>
      <c r="O1751" s="54"/>
      <c r="P1751" s="54">
        <v>1</v>
      </c>
      <c r="Q1751" s="54"/>
      <c r="R1751" s="54"/>
      <c r="S1751" s="54" t="s">
        <v>1579</v>
      </c>
      <c r="T1751" s="54" t="s">
        <v>1565</v>
      </c>
      <c r="U1751" s="54" t="s">
        <v>1593</v>
      </c>
      <c r="V1751" s="54" t="s">
        <v>1908</v>
      </c>
      <c r="Z1751" s="35" t="s">
        <v>167</v>
      </c>
      <c r="AE1751" s="35" t="s">
        <v>1727</v>
      </c>
      <c r="AF1751" s="152" t="s">
        <v>1761</v>
      </c>
      <c r="AG1751" s="35" t="s">
        <v>160</v>
      </c>
      <c r="AH1751" s="154" t="s">
        <v>1791</v>
      </c>
      <c r="AR1751" s="35" t="s">
        <v>192</v>
      </c>
      <c r="AS1751" s="35">
        <v>4</v>
      </c>
      <c r="AT1751" s="35">
        <v>4</v>
      </c>
      <c r="AU1751" s="35" t="s">
        <v>379</v>
      </c>
      <c r="BM1751" s="35">
        <v>7.8</v>
      </c>
      <c r="BN1751" s="35">
        <v>2.2000000000000002</v>
      </c>
      <c r="BO1751" s="35" t="s">
        <v>1858</v>
      </c>
    </row>
    <row r="1752" spans="1:67" s="35" customFormat="1" x14ac:dyDescent="0.25">
      <c r="A1752" s="35">
        <v>82</v>
      </c>
      <c r="B1752" s="35" t="s">
        <v>1637</v>
      </c>
      <c r="C1752" s="35" t="s">
        <v>1638</v>
      </c>
      <c r="D1752" s="35">
        <v>2007</v>
      </c>
      <c r="E1752" s="35">
        <v>2000</v>
      </c>
      <c r="F1752" s="35" t="s">
        <v>1639</v>
      </c>
      <c r="G1752" s="35" t="s">
        <v>1640</v>
      </c>
      <c r="H1752" s="35">
        <v>42.74</v>
      </c>
      <c r="I1752" s="35">
        <v>-84.48</v>
      </c>
      <c r="J1752" s="35">
        <v>260</v>
      </c>
      <c r="O1752" s="54"/>
      <c r="P1752" s="54">
        <v>1</v>
      </c>
      <c r="Q1752" s="54"/>
      <c r="R1752" s="54"/>
      <c r="S1752" s="54" t="s">
        <v>1579</v>
      </c>
      <c r="T1752" s="54" t="s">
        <v>1565</v>
      </c>
      <c r="U1752" s="54" t="s">
        <v>1593</v>
      </c>
      <c r="V1752" s="54" t="s">
        <v>1908</v>
      </c>
      <c r="Z1752" s="35" t="s">
        <v>167</v>
      </c>
      <c r="AE1752" s="35" t="s">
        <v>1728</v>
      </c>
      <c r="AF1752" s="152" t="s">
        <v>1761</v>
      </c>
      <c r="AG1752" s="35" t="s">
        <v>160</v>
      </c>
      <c r="AH1752" s="154" t="s">
        <v>1791</v>
      </c>
      <c r="AR1752" s="35" t="s">
        <v>192</v>
      </c>
      <c r="AS1752" s="35">
        <v>4</v>
      </c>
      <c r="AT1752" s="35">
        <v>4</v>
      </c>
      <c r="AU1752" s="35" t="s">
        <v>379</v>
      </c>
      <c r="BM1752" s="35">
        <v>7.8</v>
      </c>
      <c r="BN1752" s="35">
        <v>3.2</v>
      </c>
      <c r="BO1752" s="35" t="s">
        <v>1858</v>
      </c>
    </row>
    <row r="1753" spans="1:67" s="35" customFormat="1" x14ac:dyDescent="0.25">
      <c r="A1753" s="35">
        <v>82</v>
      </c>
      <c r="B1753" s="35" t="s">
        <v>1637</v>
      </c>
      <c r="C1753" s="35" t="s">
        <v>1638</v>
      </c>
      <c r="D1753" s="35">
        <v>2007</v>
      </c>
      <c r="E1753" s="35">
        <v>2000</v>
      </c>
      <c r="F1753" s="35" t="s">
        <v>1639</v>
      </c>
      <c r="G1753" s="35" t="s">
        <v>1640</v>
      </c>
      <c r="H1753" s="35">
        <v>42.74</v>
      </c>
      <c r="I1753" s="35">
        <v>-84.48</v>
      </c>
      <c r="J1753" s="35">
        <v>260</v>
      </c>
      <c r="O1753" s="54"/>
      <c r="P1753" s="54">
        <v>1</v>
      </c>
      <c r="Q1753" s="54"/>
      <c r="R1753" s="54"/>
      <c r="S1753" s="54" t="s">
        <v>1579</v>
      </c>
      <c r="T1753" s="54" t="s">
        <v>1565</v>
      </c>
      <c r="U1753" s="54" t="s">
        <v>1593</v>
      </c>
      <c r="V1753" s="54" t="s">
        <v>1908</v>
      </c>
      <c r="Z1753" s="35" t="s">
        <v>167</v>
      </c>
      <c r="AE1753" s="35" t="s">
        <v>1729</v>
      </c>
      <c r="AF1753" s="152" t="s">
        <v>1761</v>
      </c>
      <c r="AG1753" s="35" t="s">
        <v>160</v>
      </c>
      <c r="AH1753" s="154" t="s">
        <v>1791</v>
      </c>
      <c r="AR1753" s="35" t="s">
        <v>192</v>
      </c>
      <c r="AS1753" s="35">
        <v>4</v>
      </c>
      <c r="AT1753" s="35">
        <v>4</v>
      </c>
      <c r="AU1753" s="35" t="s">
        <v>379</v>
      </c>
      <c r="BM1753" s="35">
        <v>7.8</v>
      </c>
      <c r="BN1753" s="35">
        <v>2.5</v>
      </c>
      <c r="BO1753" s="35" t="s">
        <v>1858</v>
      </c>
    </row>
    <row r="1754" spans="1:67" s="149" customFormat="1" x14ac:dyDescent="0.25">
      <c r="A1754" s="149">
        <v>82</v>
      </c>
      <c r="B1754" s="149" t="s">
        <v>1637</v>
      </c>
      <c r="C1754" s="149" t="s">
        <v>1638</v>
      </c>
      <c r="D1754" s="149">
        <v>2007</v>
      </c>
      <c r="E1754" s="149">
        <v>2001</v>
      </c>
      <c r="F1754" s="149" t="s">
        <v>1639</v>
      </c>
      <c r="G1754" s="149" t="s">
        <v>1640</v>
      </c>
      <c r="H1754" s="149">
        <v>42.74</v>
      </c>
      <c r="I1754" s="149">
        <v>-84.48</v>
      </c>
      <c r="J1754" s="149">
        <v>260</v>
      </c>
      <c r="O1754" s="150"/>
      <c r="P1754" s="150">
        <v>2</v>
      </c>
      <c r="Q1754" s="150"/>
      <c r="R1754" s="150"/>
      <c r="S1754" s="150" t="s">
        <v>1565</v>
      </c>
      <c r="T1754" s="150" t="s">
        <v>1565</v>
      </c>
      <c r="U1754" s="150" t="s">
        <v>1593</v>
      </c>
      <c r="V1754" s="150" t="s">
        <v>1908</v>
      </c>
      <c r="Z1754" s="149" t="s">
        <v>167</v>
      </c>
      <c r="AE1754" s="149" t="s">
        <v>144</v>
      </c>
      <c r="AF1754" s="152" t="s">
        <v>1761</v>
      </c>
      <c r="AG1754" s="149" t="s">
        <v>160</v>
      </c>
      <c r="AH1754" s="154" t="s">
        <v>1791</v>
      </c>
      <c r="AR1754" s="35" t="s">
        <v>192</v>
      </c>
      <c r="AS1754" s="35">
        <v>4</v>
      </c>
      <c r="AT1754" s="35">
        <v>4</v>
      </c>
      <c r="AU1754" s="35" t="s">
        <v>379</v>
      </c>
      <c r="BM1754" s="149">
        <v>2.9</v>
      </c>
      <c r="BN1754" s="149">
        <v>2.9</v>
      </c>
      <c r="BO1754" s="149" t="s">
        <v>1858</v>
      </c>
    </row>
    <row r="1755" spans="1:67" s="149" customFormat="1" x14ac:dyDescent="0.25">
      <c r="A1755" s="149">
        <v>82</v>
      </c>
      <c r="B1755" s="149" t="s">
        <v>1637</v>
      </c>
      <c r="C1755" s="149" t="s">
        <v>1638</v>
      </c>
      <c r="D1755" s="149">
        <v>2007</v>
      </c>
      <c r="E1755" s="149">
        <v>2001</v>
      </c>
      <c r="F1755" s="149" t="s">
        <v>1639</v>
      </c>
      <c r="G1755" s="149" t="s">
        <v>1640</v>
      </c>
      <c r="H1755" s="149">
        <v>42.74</v>
      </c>
      <c r="I1755" s="149">
        <v>-84.48</v>
      </c>
      <c r="J1755" s="149">
        <v>260</v>
      </c>
      <c r="O1755" s="150"/>
      <c r="P1755" s="150">
        <v>2</v>
      </c>
      <c r="Q1755" s="150"/>
      <c r="R1755" s="150"/>
      <c r="S1755" s="150" t="s">
        <v>1565</v>
      </c>
      <c r="T1755" s="150" t="s">
        <v>1565</v>
      </c>
      <c r="U1755" s="150" t="s">
        <v>1593</v>
      </c>
      <c r="V1755" s="150" t="s">
        <v>1908</v>
      </c>
      <c r="Z1755" s="149" t="s">
        <v>167</v>
      </c>
      <c r="AE1755" s="149" t="s">
        <v>159</v>
      </c>
      <c r="AF1755" s="152" t="s">
        <v>159</v>
      </c>
      <c r="AG1755" s="149" t="s">
        <v>160</v>
      </c>
      <c r="AH1755" s="154" t="s">
        <v>1791</v>
      </c>
      <c r="AR1755" s="35" t="s">
        <v>192</v>
      </c>
      <c r="AS1755" s="35">
        <v>4</v>
      </c>
      <c r="AT1755" s="35">
        <v>4</v>
      </c>
      <c r="AU1755" s="35" t="s">
        <v>379</v>
      </c>
      <c r="BM1755" s="149">
        <v>2.9</v>
      </c>
      <c r="BN1755" s="149">
        <v>2.5</v>
      </c>
      <c r="BO1755" s="149" t="s">
        <v>1858</v>
      </c>
    </row>
    <row r="1756" spans="1:67" s="149" customFormat="1" x14ac:dyDescent="0.25">
      <c r="A1756" s="149">
        <v>82</v>
      </c>
      <c r="B1756" s="149" t="s">
        <v>1637</v>
      </c>
      <c r="C1756" s="149" t="s">
        <v>1638</v>
      </c>
      <c r="D1756" s="149">
        <v>2007</v>
      </c>
      <c r="E1756" s="149">
        <v>2001</v>
      </c>
      <c r="F1756" s="149" t="s">
        <v>1639</v>
      </c>
      <c r="G1756" s="149" t="s">
        <v>1640</v>
      </c>
      <c r="H1756" s="149">
        <v>42.74</v>
      </c>
      <c r="I1756" s="149">
        <v>-84.48</v>
      </c>
      <c r="J1756" s="149">
        <v>260</v>
      </c>
      <c r="O1756" s="150"/>
      <c r="P1756" s="150">
        <v>2</v>
      </c>
      <c r="Q1756" s="150"/>
      <c r="R1756" s="150"/>
      <c r="S1756" s="150" t="s">
        <v>1565</v>
      </c>
      <c r="T1756" s="150" t="s">
        <v>1565</v>
      </c>
      <c r="U1756" s="150" t="s">
        <v>1593</v>
      </c>
      <c r="V1756" s="150" t="s">
        <v>1908</v>
      </c>
      <c r="Z1756" s="149" t="s">
        <v>167</v>
      </c>
      <c r="AE1756" s="149" t="s">
        <v>1725</v>
      </c>
      <c r="AF1756" s="152" t="s">
        <v>159</v>
      </c>
      <c r="AG1756" s="149" t="s">
        <v>160</v>
      </c>
      <c r="AH1756" s="154" t="s">
        <v>1791</v>
      </c>
      <c r="AR1756" s="35" t="s">
        <v>192</v>
      </c>
      <c r="AS1756" s="35">
        <v>4</v>
      </c>
      <c r="AT1756" s="35">
        <v>4</v>
      </c>
      <c r="AU1756" s="35" t="s">
        <v>379</v>
      </c>
      <c r="BM1756" s="149">
        <v>2.9</v>
      </c>
      <c r="BN1756" s="149">
        <v>2.9</v>
      </c>
      <c r="BO1756" s="149" t="s">
        <v>1858</v>
      </c>
    </row>
    <row r="1757" spans="1:67" s="149" customFormat="1" x14ac:dyDescent="0.25">
      <c r="A1757" s="149">
        <v>82</v>
      </c>
      <c r="B1757" s="149" t="s">
        <v>1637</v>
      </c>
      <c r="C1757" s="149" t="s">
        <v>1638</v>
      </c>
      <c r="D1757" s="149">
        <v>2007</v>
      </c>
      <c r="E1757" s="149">
        <v>2001</v>
      </c>
      <c r="F1757" s="149" t="s">
        <v>1639</v>
      </c>
      <c r="G1757" s="149" t="s">
        <v>1640</v>
      </c>
      <c r="H1757" s="149">
        <v>42.74</v>
      </c>
      <c r="I1757" s="149">
        <v>-84.48</v>
      </c>
      <c r="J1757" s="149">
        <v>260</v>
      </c>
      <c r="O1757" s="150"/>
      <c r="P1757" s="150">
        <v>2</v>
      </c>
      <c r="Q1757" s="150"/>
      <c r="R1757" s="150"/>
      <c r="S1757" s="150" t="s">
        <v>1565</v>
      </c>
      <c r="T1757" s="150" t="s">
        <v>1565</v>
      </c>
      <c r="U1757" s="150" t="s">
        <v>1593</v>
      </c>
      <c r="V1757" s="150" t="s">
        <v>1908</v>
      </c>
      <c r="Z1757" s="149" t="s">
        <v>167</v>
      </c>
      <c r="AE1757" s="149" t="s">
        <v>1726</v>
      </c>
      <c r="AF1757" s="152" t="s">
        <v>1761</v>
      </c>
      <c r="AG1757" s="149" t="s">
        <v>160</v>
      </c>
      <c r="AH1757" s="154" t="s">
        <v>1791</v>
      </c>
      <c r="AR1757" s="35" t="s">
        <v>192</v>
      </c>
      <c r="AS1757" s="35">
        <v>4</v>
      </c>
      <c r="AT1757" s="35">
        <v>4</v>
      </c>
      <c r="AU1757" s="35" t="s">
        <v>379</v>
      </c>
      <c r="BM1757" s="149">
        <v>2.9</v>
      </c>
      <c r="BN1757" s="149">
        <v>1.5</v>
      </c>
      <c r="BO1757" s="149" t="s">
        <v>1858</v>
      </c>
    </row>
    <row r="1758" spans="1:67" s="149" customFormat="1" x14ac:dyDescent="0.25">
      <c r="A1758" s="149">
        <v>82</v>
      </c>
      <c r="B1758" s="149" t="s">
        <v>1637</v>
      </c>
      <c r="C1758" s="149" t="s">
        <v>1638</v>
      </c>
      <c r="D1758" s="149">
        <v>2007</v>
      </c>
      <c r="E1758" s="149">
        <v>2001</v>
      </c>
      <c r="F1758" s="149" t="s">
        <v>1639</v>
      </c>
      <c r="G1758" s="149" t="s">
        <v>1640</v>
      </c>
      <c r="H1758" s="149">
        <v>42.74</v>
      </c>
      <c r="I1758" s="149">
        <v>-84.48</v>
      </c>
      <c r="J1758" s="149">
        <v>260</v>
      </c>
      <c r="O1758" s="150"/>
      <c r="P1758" s="150">
        <v>2</v>
      </c>
      <c r="Q1758" s="150"/>
      <c r="R1758" s="150"/>
      <c r="S1758" s="150" t="s">
        <v>1565</v>
      </c>
      <c r="T1758" s="150" t="s">
        <v>1565</v>
      </c>
      <c r="U1758" s="150" t="s">
        <v>1593</v>
      </c>
      <c r="V1758" s="150" t="s">
        <v>1908</v>
      </c>
      <c r="Z1758" s="149" t="s">
        <v>167</v>
      </c>
      <c r="AE1758" s="149" t="s">
        <v>1727</v>
      </c>
      <c r="AF1758" s="152" t="s">
        <v>1761</v>
      </c>
      <c r="AG1758" s="149" t="s">
        <v>160</v>
      </c>
      <c r="AH1758" s="154" t="s">
        <v>1791</v>
      </c>
      <c r="AR1758" s="35" t="s">
        <v>192</v>
      </c>
      <c r="AS1758" s="35">
        <v>4</v>
      </c>
      <c r="AT1758" s="35">
        <v>4</v>
      </c>
      <c r="AU1758" s="35" t="s">
        <v>379</v>
      </c>
      <c r="BM1758" s="149">
        <v>2.9</v>
      </c>
      <c r="BN1758" s="149">
        <v>1.8</v>
      </c>
      <c r="BO1758" s="149" t="s">
        <v>1858</v>
      </c>
    </row>
    <row r="1759" spans="1:67" s="149" customFormat="1" x14ac:dyDescent="0.25">
      <c r="A1759" s="149">
        <v>82</v>
      </c>
      <c r="B1759" s="149" t="s">
        <v>1637</v>
      </c>
      <c r="C1759" s="149" t="s">
        <v>1638</v>
      </c>
      <c r="D1759" s="149">
        <v>2007</v>
      </c>
      <c r="E1759" s="149">
        <v>2001</v>
      </c>
      <c r="F1759" s="149" t="s">
        <v>1639</v>
      </c>
      <c r="G1759" s="149" t="s">
        <v>1640</v>
      </c>
      <c r="H1759" s="149">
        <v>42.74</v>
      </c>
      <c r="I1759" s="149">
        <v>-84.48</v>
      </c>
      <c r="J1759" s="149">
        <v>260</v>
      </c>
      <c r="O1759" s="150"/>
      <c r="P1759" s="150">
        <v>2</v>
      </c>
      <c r="Q1759" s="150"/>
      <c r="R1759" s="150"/>
      <c r="S1759" s="150" t="s">
        <v>1565</v>
      </c>
      <c r="T1759" s="150" t="s">
        <v>1565</v>
      </c>
      <c r="U1759" s="150" t="s">
        <v>1593</v>
      </c>
      <c r="V1759" s="150" t="s">
        <v>1908</v>
      </c>
      <c r="Z1759" s="149" t="s">
        <v>167</v>
      </c>
      <c r="AE1759" s="149" t="s">
        <v>1728</v>
      </c>
      <c r="AF1759" s="152" t="s">
        <v>1761</v>
      </c>
      <c r="AG1759" s="149" t="s">
        <v>160</v>
      </c>
      <c r="AH1759" s="154" t="s">
        <v>1791</v>
      </c>
      <c r="AR1759" s="35" t="s">
        <v>192</v>
      </c>
      <c r="AS1759" s="35">
        <v>4</v>
      </c>
      <c r="AT1759" s="35">
        <v>4</v>
      </c>
      <c r="AU1759" s="35" t="s">
        <v>379</v>
      </c>
      <c r="BM1759" s="149">
        <v>2.9</v>
      </c>
      <c r="BN1759" s="149">
        <v>1.5</v>
      </c>
      <c r="BO1759" s="149" t="s">
        <v>1858</v>
      </c>
    </row>
    <row r="1760" spans="1:67" s="149" customFormat="1" x14ac:dyDescent="0.25">
      <c r="A1760" s="149">
        <v>82</v>
      </c>
      <c r="B1760" s="149" t="s">
        <v>1637</v>
      </c>
      <c r="C1760" s="149" t="s">
        <v>1638</v>
      </c>
      <c r="D1760" s="149">
        <v>2007</v>
      </c>
      <c r="E1760" s="149">
        <v>2001</v>
      </c>
      <c r="F1760" s="149" t="s">
        <v>1639</v>
      </c>
      <c r="G1760" s="149" t="s">
        <v>1640</v>
      </c>
      <c r="H1760" s="149">
        <v>42.74</v>
      </c>
      <c r="I1760" s="149">
        <v>-84.48</v>
      </c>
      <c r="J1760" s="149">
        <v>260</v>
      </c>
      <c r="O1760" s="150"/>
      <c r="P1760" s="150">
        <v>2</v>
      </c>
      <c r="Q1760" s="150"/>
      <c r="R1760" s="150"/>
      <c r="S1760" s="150" t="s">
        <v>1565</v>
      </c>
      <c r="T1760" s="150" t="s">
        <v>1565</v>
      </c>
      <c r="U1760" s="150" t="s">
        <v>1593</v>
      </c>
      <c r="V1760" s="150" t="s">
        <v>1908</v>
      </c>
      <c r="Z1760" s="149" t="s">
        <v>167</v>
      </c>
      <c r="AE1760" s="149" t="s">
        <v>1729</v>
      </c>
      <c r="AF1760" s="152" t="s">
        <v>1761</v>
      </c>
      <c r="AG1760" s="149" t="s">
        <v>160</v>
      </c>
      <c r="AH1760" s="154" t="s">
        <v>1791</v>
      </c>
      <c r="AR1760" s="35" t="s">
        <v>192</v>
      </c>
      <c r="AS1760" s="35">
        <v>4</v>
      </c>
      <c r="AT1760" s="35">
        <v>4</v>
      </c>
      <c r="AU1760" s="35" t="s">
        <v>379</v>
      </c>
      <c r="BM1760" s="149">
        <v>2.9</v>
      </c>
      <c r="BN1760" s="149">
        <v>1.3</v>
      </c>
      <c r="BO1760" s="149" t="s">
        <v>1858</v>
      </c>
    </row>
    <row r="1761" spans="1:160" s="26" customFormat="1" x14ac:dyDescent="0.25">
      <c r="A1761" s="26">
        <v>82</v>
      </c>
      <c r="B1761" s="26" t="s">
        <v>1637</v>
      </c>
      <c r="C1761" s="26" t="s">
        <v>1638</v>
      </c>
      <c r="D1761" s="26">
        <v>2007</v>
      </c>
      <c r="E1761" s="26">
        <v>2001</v>
      </c>
      <c r="F1761" s="26" t="s">
        <v>1639</v>
      </c>
      <c r="G1761" s="26" t="s">
        <v>1640</v>
      </c>
      <c r="H1761" s="26">
        <v>42.74</v>
      </c>
      <c r="I1761" s="26">
        <v>-84.48</v>
      </c>
      <c r="J1761" s="26">
        <v>260</v>
      </c>
      <c r="O1761" s="52"/>
      <c r="P1761" s="52">
        <v>2</v>
      </c>
      <c r="Q1761" s="52"/>
      <c r="R1761" s="52"/>
      <c r="S1761" s="52" t="s">
        <v>1578</v>
      </c>
      <c r="T1761" s="52" t="s">
        <v>1565</v>
      </c>
      <c r="U1761" s="52" t="s">
        <v>1593</v>
      </c>
      <c r="V1761" s="52" t="s">
        <v>1908</v>
      </c>
      <c r="Z1761" s="26" t="s">
        <v>167</v>
      </c>
      <c r="AE1761" s="26" t="s">
        <v>144</v>
      </c>
      <c r="AF1761" s="152" t="s">
        <v>1761</v>
      </c>
      <c r="AG1761" s="26" t="s">
        <v>160</v>
      </c>
      <c r="AH1761" s="154" t="s">
        <v>1791</v>
      </c>
      <c r="AR1761" s="35" t="s">
        <v>192</v>
      </c>
      <c r="AS1761" s="35">
        <v>4</v>
      </c>
      <c r="AT1761" s="35">
        <v>4</v>
      </c>
      <c r="AU1761" s="35" t="s">
        <v>379</v>
      </c>
      <c r="BM1761" s="26">
        <v>3.8</v>
      </c>
      <c r="BN1761" s="26">
        <v>2.2999999999999998</v>
      </c>
      <c r="BO1761" s="149" t="s">
        <v>1858</v>
      </c>
    </row>
    <row r="1762" spans="1:160" s="26" customFormat="1" x14ac:dyDescent="0.25">
      <c r="A1762" s="26">
        <v>82</v>
      </c>
      <c r="B1762" s="26" t="s">
        <v>1637</v>
      </c>
      <c r="C1762" s="26" t="s">
        <v>1638</v>
      </c>
      <c r="D1762" s="26">
        <v>2007</v>
      </c>
      <c r="E1762" s="26">
        <v>2001</v>
      </c>
      <c r="F1762" s="26" t="s">
        <v>1639</v>
      </c>
      <c r="G1762" s="26" t="s">
        <v>1640</v>
      </c>
      <c r="H1762" s="26">
        <v>42.74</v>
      </c>
      <c r="I1762" s="26">
        <v>-84.48</v>
      </c>
      <c r="J1762" s="26">
        <v>260</v>
      </c>
      <c r="O1762" s="52"/>
      <c r="P1762" s="52">
        <v>2</v>
      </c>
      <c r="Q1762" s="52"/>
      <c r="R1762" s="52"/>
      <c r="S1762" s="52" t="s">
        <v>1578</v>
      </c>
      <c r="T1762" s="52" t="s">
        <v>1565</v>
      </c>
      <c r="U1762" s="52" t="s">
        <v>1593</v>
      </c>
      <c r="V1762" s="52" t="s">
        <v>1908</v>
      </c>
      <c r="Z1762" s="26" t="s">
        <v>167</v>
      </c>
      <c r="AE1762" s="26" t="s">
        <v>159</v>
      </c>
      <c r="AF1762" s="152" t="s">
        <v>159</v>
      </c>
      <c r="AG1762" s="26" t="s">
        <v>160</v>
      </c>
      <c r="AH1762" s="154" t="s">
        <v>1791</v>
      </c>
      <c r="AR1762" s="35" t="s">
        <v>192</v>
      </c>
      <c r="AS1762" s="35">
        <v>4</v>
      </c>
      <c r="AT1762" s="35">
        <v>4</v>
      </c>
      <c r="AU1762" s="35" t="s">
        <v>379</v>
      </c>
      <c r="BM1762" s="26">
        <v>3.8</v>
      </c>
      <c r="BN1762" s="26">
        <v>1.9</v>
      </c>
      <c r="BO1762" s="149" t="s">
        <v>1858</v>
      </c>
    </row>
    <row r="1763" spans="1:160" s="26" customFormat="1" x14ac:dyDescent="0.25">
      <c r="A1763" s="26">
        <v>82</v>
      </c>
      <c r="B1763" s="26" t="s">
        <v>1637</v>
      </c>
      <c r="C1763" s="26" t="s">
        <v>1638</v>
      </c>
      <c r="D1763" s="26">
        <v>2007</v>
      </c>
      <c r="E1763" s="26">
        <v>2001</v>
      </c>
      <c r="F1763" s="26" t="s">
        <v>1639</v>
      </c>
      <c r="G1763" s="26" t="s">
        <v>1640</v>
      </c>
      <c r="H1763" s="26">
        <v>42.74</v>
      </c>
      <c r="I1763" s="26">
        <v>-84.48</v>
      </c>
      <c r="J1763" s="26">
        <v>260</v>
      </c>
      <c r="O1763" s="52"/>
      <c r="P1763" s="52">
        <v>2</v>
      </c>
      <c r="Q1763" s="52"/>
      <c r="R1763" s="52"/>
      <c r="S1763" s="52" t="s">
        <v>1578</v>
      </c>
      <c r="T1763" s="52" t="s">
        <v>1565</v>
      </c>
      <c r="U1763" s="52" t="s">
        <v>1593</v>
      </c>
      <c r="V1763" s="52" t="s">
        <v>1908</v>
      </c>
      <c r="Z1763" s="26" t="s">
        <v>167</v>
      </c>
      <c r="AE1763" s="26" t="s">
        <v>1725</v>
      </c>
      <c r="AF1763" s="152" t="s">
        <v>159</v>
      </c>
      <c r="AG1763" s="26" t="s">
        <v>160</v>
      </c>
      <c r="AH1763" s="154" t="s">
        <v>1791</v>
      </c>
      <c r="AR1763" s="35" t="s">
        <v>192</v>
      </c>
      <c r="AS1763" s="35">
        <v>4</v>
      </c>
      <c r="AT1763" s="35">
        <v>4</v>
      </c>
      <c r="AU1763" s="35" t="s">
        <v>379</v>
      </c>
      <c r="BM1763" s="26">
        <v>3.8</v>
      </c>
      <c r="BN1763" s="26">
        <v>1.5</v>
      </c>
      <c r="BO1763" s="149" t="s">
        <v>1858</v>
      </c>
    </row>
    <row r="1764" spans="1:160" s="26" customFormat="1" x14ac:dyDescent="0.25">
      <c r="A1764" s="26">
        <v>82</v>
      </c>
      <c r="B1764" s="26" t="s">
        <v>1637</v>
      </c>
      <c r="C1764" s="26" t="s">
        <v>1638</v>
      </c>
      <c r="D1764" s="26">
        <v>2007</v>
      </c>
      <c r="E1764" s="26">
        <v>2001</v>
      </c>
      <c r="F1764" s="26" t="s">
        <v>1639</v>
      </c>
      <c r="G1764" s="26" t="s">
        <v>1640</v>
      </c>
      <c r="H1764" s="26">
        <v>42.74</v>
      </c>
      <c r="I1764" s="26">
        <v>-84.48</v>
      </c>
      <c r="J1764" s="26">
        <v>260</v>
      </c>
      <c r="O1764" s="52"/>
      <c r="P1764" s="52">
        <v>2</v>
      </c>
      <c r="Q1764" s="52"/>
      <c r="R1764" s="52"/>
      <c r="S1764" s="52" t="s">
        <v>1578</v>
      </c>
      <c r="T1764" s="52" t="s">
        <v>1565</v>
      </c>
      <c r="U1764" s="52" t="s">
        <v>1593</v>
      </c>
      <c r="V1764" s="52" t="s">
        <v>1908</v>
      </c>
      <c r="Z1764" s="26" t="s">
        <v>167</v>
      </c>
      <c r="AE1764" s="26" t="s">
        <v>1726</v>
      </c>
      <c r="AF1764" s="152" t="s">
        <v>1761</v>
      </c>
      <c r="AG1764" s="26" t="s">
        <v>160</v>
      </c>
      <c r="AH1764" s="154" t="s">
        <v>1791</v>
      </c>
      <c r="AR1764" s="35" t="s">
        <v>192</v>
      </c>
      <c r="AS1764" s="35">
        <v>4</v>
      </c>
      <c r="AT1764" s="35">
        <v>4</v>
      </c>
      <c r="AU1764" s="35" t="s">
        <v>379</v>
      </c>
      <c r="BM1764" s="26">
        <v>3.8</v>
      </c>
      <c r="BN1764" s="26">
        <v>1.3</v>
      </c>
      <c r="BO1764" s="149" t="s">
        <v>1858</v>
      </c>
    </row>
    <row r="1765" spans="1:160" s="26" customFormat="1" x14ac:dyDescent="0.25">
      <c r="A1765" s="26">
        <v>82</v>
      </c>
      <c r="B1765" s="26" t="s">
        <v>1637</v>
      </c>
      <c r="C1765" s="26" t="s">
        <v>1638</v>
      </c>
      <c r="D1765" s="26">
        <v>2007</v>
      </c>
      <c r="E1765" s="26">
        <v>2001</v>
      </c>
      <c r="F1765" s="26" t="s">
        <v>1639</v>
      </c>
      <c r="G1765" s="26" t="s">
        <v>1640</v>
      </c>
      <c r="H1765" s="26">
        <v>42.74</v>
      </c>
      <c r="I1765" s="26">
        <v>-84.48</v>
      </c>
      <c r="J1765" s="26">
        <v>260</v>
      </c>
      <c r="O1765" s="52"/>
      <c r="P1765" s="52">
        <v>2</v>
      </c>
      <c r="Q1765" s="52"/>
      <c r="R1765" s="52"/>
      <c r="S1765" s="52" t="s">
        <v>1578</v>
      </c>
      <c r="T1765" s="52" t="s">
        <v>1565</v>
      </c>
      <c r="U1765" s="52" t="s">
        <v>1593</v>
      </c>
      <c r="V1765" s="52" t="s">
        <v>1908</v>
      </c>
      <c r="Z1765" s="26" t="s">
        <v>167</v>
      </c>
      <c r="AE1765" s="26" t="s">
        <v>1727</v>
      </c>
      <c r="AF1765" s="152" t="s">
        <v>1761</v>
      </c>
      <c r="AG1765" s="26" t="s">
        <v>160</v>
      </c>
      <c r="AH1765" s="154" t="s">
        <v>1791</v>
      </c>
      <c r="AR1765" s="35" t="s">
        <v>192</v>
      </c>
      <c r="AS1765" s="35">
        <v>4</v>
      </c>
      <c r="AT1765" s="35">
        <v>4</v>
      </c>
      <c r="AU1765" s="35" t="s">
        <v>379</v>
      </c>
      <c r="BM1765" s="26">
        <v>3.8</v>
      </c>
      <c r="BN1765" s="26">
        <v>1.4</v>
      </c>
      <c r="BO1765" s="149" t="s">
        <v>1858</v>
      </c>
    </row>
    <row r="1766" spans="1:160" s="26" customFormat="1" x14ac:dyDescent="0.25">
      <c r="A1766" s="26">
        <v>82</v>
      </c>
      <c r="B1766" s="26" t="s">
        <v>1637</v>
      </c>
      <c r="C1766" s="26" t="s">
        <v>1638</v>
      </c>
      <c r="D1766" s="26">
        <v>2007</v>
      </c>
      <c r="E1766" s="26">
        <v>2001</v>
      </c>
      <c r="F1766" s="26" t="s">
        <v>1639</v>
      </c>
      <c r="G1766" s="26" t="s">
        <v>1640</v>
      </c>
      <c r="H1766" s="26">
        <v>42.74</v>
      </c>
      <c r="I1766" s="26">
        <v>-84.48</v>
      </c>
      <c r="J1766" s="26">
        <v>260</v>
      </c>
      <c r="O1766" s="52"/>
      <c r="P1766" s="52">
        <v>2</v>
      </c>
      <c r="Q1766" s="52"/>
      <c r="R1766" s="52"/>
      <c r="S1766" s="52" t="s">
        <v>1578</v>
      </c>
      <c r="T1766" s="52" t="s">
        <v>1565</v>
      </c>
      <c r="U1766" s="52" t="s">
        <v>1593</v>
      </c>
      <c r="V1766" s="52" t="s">
        <v>1908</v>
      </c>
      <c r="Z1766" s="26" t="s">
        <v>167</v>
      </c>
      <c r="AE1766" s="26" t="s">
        <v>1728</v>
      </c>
      <c r="AF1766" s="152" t="s">
        <v>1761</v>
      </c>
      <c r="AG1766" s="26" t="s">
        <v>160</v>
      </c>
      <c r="AH1766" s="154" t="s">
        <v>1791</v>
      </c>
      <c r="AR1766" s="35" t="s">
        <v>192</v>
      </c>
      <c r="AS1766" s="35">
        <v>4</v>
      </c>
      <c r="AT1766" s="35">
        <v>4</v>
      </c>
      <c r="AU1766" s="35" t="s">
        <v>379</v>
      </c>
      <c r="BM1766" s="26">
        <v>3.8</v>
      </c>
      <c r="BN1766" s="26">
        <v>1.5</v>
      </c>
      <c r="BO1766" s="149" t="s">
        <v>1858</v>
      </c>
    </row>
    <row r="1767" spans="1:160" s="26" customFormat="1" x14ac:dyDescent="0.25">
      <c r="A1767" s="26">
        <v>82</v>
      </c>
      <c r="B1767" s="26" t="s">
        <v>1637</v>
      </c>
      <c r="C1767" s="26" t="s">
        <v>1638</v>
      </c>
      <c r="D1767" s="26">
        <v>2007</v>
      </c>
      <c r="E1767" s="26">
        <v>2001</v>
      </c>
      <c r="F1767" s="26" t="s">
        <v>1639</v>
      </c>
      <c r="G1767" s="26" t="s">
        <v>1640</v>
      </c>
      <c r="H1767" s="26">
        <v>42.74</v>
      </c>
      <c r="I1767" s="26">
        <v>-84.48</v>
      </c>
      <c r="J1767" s="26">
        <v>260</v>
      </c>
      <c r="O1767" s="52"/>
      <c r="P1767" s="52">
        <v>2</v>
      </c>
      <c r="Q1767" s="52"/>
      <c r="R1767" s="52"/>
      <c r="S1767" s="52" t="s">
        <v>1578</v>
      </c>
      <c r="T1767" s="52" t="s">
        <v>1565</v>
      </c>
      <c r="U1767" s="52" t="s">
        <v>1593</v>
      </c>
      <c r="V1767" s="52" t="s">
        <v>1908</v>
      </c>
      <c r="Z1767" s="26" t="s">
        <v>167</v>
      </c>
      <c r="AE1767" s="26" t="s">
        <v>1729</v>
      </c>
      <c r="AF1767" s="152" t="s">
        <v>1761</v>
      </c>
      <c r="AG1767" s="26" t="s">
        <v>160</v>
      </c>
      <c r="AH1767" s="154" t="s">
        <v>1791</v>
      </c>
      <c r="AR1767" s="35" t="s">
        <v>192</v>
      </c>
      <c r="AS1767" s="35">
        <v>4</v>
      </c>
      <c r="AT1767" s="35">
        <v>4</v>
      </c>
      <c r="AU1767" s="35" t="s">
        <v>379</v>
      </c>
      <c r="BM1767" s="26">
        <v>3.8</v>
      </c>
      <c r="BN1767" s="26">
        <v>1.2</v>
      </c>
      <c r="BO1767" s="149" t="s">
        <v>1858</v>
      </c>
    </row>
    <row r="1768" spans="1:160" s="149" customFormat="1" x14ac:dyDescent="0.25">
      <c r="A1768" s="149">
        <v>82</v>
      </c>
      <c r="B1768" s="149" t="s">
        <v>1637</v>
      </c>
      <c r="C1768" s="149" t="s">
        <v>1638</v>
      </c>
      <c r="D1768" s="149">
        <v>2007</v>
      </c>
      <c r="E1768" s="149">
        <v>2001</v>
      </c>
      <c r="F1768" s="149" t="s">
        <v>1639</v>
      </c>
      <c r="G1768" s="149" t="s">
        <v>1640</v>
      </c>
      <c r="H1768" s="149">
        <v>42.74</v>
      </c>
      <c r="I1768" s="149">
        <v>-84.48</v>
      </c>
      <c r="J1768" s="149">
        <v>260</v>
      </c>
      <c r="O1768" s="150"/>
      <c r="P1768" s="150">
        <v>2</v>
      </c>
      <c r="Q1768" s="150"/>
      <c r="R1768" s="150"/>
      <c r="S1768" s="150" t="s">
        <v>1579</v>
      </c>
      <c r="T1768" s="150" t="s">
        <v>1565</v>
      </c>
      <c r="U1768" s="150" t="s">
        <v>1593</v>
      </c>
      <c r="V1768" s="150" t="s">
        <v>1908</v>
      </c>
      <c r="Z1768" s="149" t="s">
        <v>167</v>
      </c>
      <c r="AE1768" s="149" t="s">
        <v>144</v>
      </c>
      <c r="AF1768" s="152" t="s">
        <v>1761</v>
      </c>
      <c r="AG1768" s="149" t="s">
        <v>160</v>
      </c>
      <c r="AH1768" s="154" t="s">
        <v>1791</v>
      </c>
      <c r="AR1768" s="35" t="s">
        <v>192</v>
      </c>
      <c r="AS1768" s="35">
        <v>4</v>
      </c>
      <c r="AT1768" s="35">
        <v>4</v>
      </c>
      <c r="AU1768" s="35" t="s">
        <v>379</v>
      </c>
      <c r="BM1768" s="149">
        <v>3.1</v>
      </c>
      <c r="BN1768" s="149">
        <v>1.7</v>
      </c>
      <c r="BO1768" s="149" t="s">
        <v>1858</v>
      </c>
    </row>
    <row r="1769" spans="1:160" s="149" customFormat="1" x14ac:dyDescent="0.25">
      <c r="A1769" s="149">
        <v>82</v>
      </c>
      <c r="B1769" s="149" t="s">
        <v>1637</v>
      </c>
      <c r="C1769" s="149" t="s">
        <v>1638</v>
      </c>
      <c r="D1769" s="149">
        <v>2007</v>
      </c>
      <c r="E1769" s="149">
        <v>2001</v>
      </c>
      <c r="F1769" s="149" t="s">
        <v>1639</v>
      </c>
      <c r="G1769" s="149" t="s">
        <v>1640</v>
      </c>
      <c r="H1769" s="149">
        <v>42.74</v>
      </c>
      <c r="I1769" s="149">
        <v>-84.48</v>
      </c>
      <c r="J1769" s="149">
        <v>260</v>
      </c>
      <c r="O1769" s="150"/>
      <c r="P1769" s="150">
        <v>2</v>
      </c>
      <c r="Q1769" s="150"/>
      <c r="R1769" s="150"/>
      <c r="S1769" s="150" t="s">
        <v>1579</v>
      </c>
      <c r="T1769" s="150" t="s">
        <v>1565</v>
      </c>
      <c r="U1769" s="150" t="s">
        <v>1593</v>
      </c>
      <c r="V1769" s="150" t="s">
        <v>1908</v>
      </c>
      <c r="Z1769" s="149" t="s">
        <v>167</v>
      </c>
      <c r="AE1769" s="149" t="s">
        <v>159</v>
      </c>
      <c r="AF1769" s="152" t="s">
        <v>159</v>
      </c>
      <c r="AG1769" s="149" t="s">
        <v>160</v>
      </c>
      <c r="AH1769" s="154" t="s">
        <v>1791</v>
      </c>
      <c r="AR1769" s="35" t="s">
        <v>192</v>
      </c>
      <c r="AS1769" s="35">
        <v>4</v>
      </c>
      <c r="AT1769" s="35">
        <v>4</v>
      </c>
      <c r="AU1769" s="35" t="s">
        <v>379</v>
      </c>
      <c r="BM1769" s="149">
        <v>3.1</v>
      </c>
      <c r="BN1769" s="149">
        <v>1.8</v>
      </c>
      <c r="BO1769" s="149" t="s">
        <v>1858</v>
      </c>
    </row>
    <row r="1770" spans="1:160" s="149" customFormat="1" x14ac:dyDescent="0.25">
      <c r="A1770" s="149">
        <v>82</v>
      </c>
      <c r="B1770" s="149" t="s">
        <v>1637</v>
      </c>
      <c r="C1770" s="149" t="s">
        <v>1638</v>
      </c>
      <c r="D1770" s="149">
        <v>2007</v>
      </c>
      <c r="E1770" s="149">
        <v>2001</v>
      </c>
      <c r="F1770" s="149" t="s">
        <v>1639</v>
      </c>
      <c r="G1770" s="149" t="s">
        <v>1640</v>
      </c>
      <c r="H1770" s="149">
        <v>42.74</v>
      </c>
      <c r="I1770" s="149">
        <v>-84.48</v>
      </c>
      <c r="J1770" s="149">
        <v>260</v>
      </c>
      <c r="O1770" s="150"/>
      <c r="P1770" s="150">
        <v>2</v>
      </c>
      <c r="Q1770" s="150"/>
      <c r="R1770" s="150"/>
      <c r="S1770" s="150" t="s">
        <v>1579</v>
      </c>
      <c r="T1770" s="150" t="s">
        <v>1565</v>
      </c>
      <c r="U1770" s="150" t="s">
        <v>1593</v>
      </c>
      <c r="V1770" s="150" t="s">
        <v>1908</v>
      </c>
      <c r="Z1770" s="149" t="s">
        <v>167</v>
      </c>
      <c r="AE1770" s="149" t="s">
        <v>1725</v>
      </c>
      <c r="AF1770" s="152" t="s">
        <v>159</v>
      </c>
      <c r="AG1770" s="149" t="s">
        <v>160</v>
      </c>
      <c r="AH1770" s="154" t="s">
        <v>1791</v>
      </c>
      <c r="AR1770" s="35" t="s">
        <v>192</v>
      </c>
      <c r="AS1770" s="35">
        <v>4</v>
      </c>
      <c r="AT1770" s="35">
        <v>4</v>
      </c>
      <c r="AU1770" s="35" t="s">
        <v>379</v>
      </c>
      <c r="BM1770" s="149">
        <v>3.1</v>
      </c>
      <c r="BN1770" s="149">
        <v>1.5</v>
      </c>
      <c r="BO1770" s="149" t="s">
        <v>1858</v>
      </c>
    </row>
    <row r="1771" spans="1:160" s="149" customFormat="1" x14ac:dyDescent="0.25">
      <c r="A1771" s="149">
        <v>82</v>
      </c>
      <c r="B1771" s="149" t="s">
        <v>1637</v>
      </c>
      <c r="C1771" s="149" t="s">
        <v>1638</v>
      </c>
      <c r="D1771" s="149">
        <v>2007</v>
      </c>
      <c r="E1771" s="149">
        <v>2001</v>
      </c>
      <c r="F1771" s="149" t="s">
        <v>1639</v>
      </c>
      <c r="G1771" s="149" t="s">
        <v>1640</v>
      </c>
      <c r="H1771" s="149">
        <v>42.74</v>
      </c>
      <c r="I1771" s="149">
        <v>-84.48</v>
      </c>
      <c r="J1771" s="149">
        <v>260</v>
      </c>
      <c r="O1771" s="150"/>
      <c r="P1771" s="150">
        <v>2</v>
      </c>
      <c r="Q1771" s="150"/>
      <c r="R1771" s="150"/>
      <c r="S1771" s="150" t="s">
        <v>1579</v>
      </c>
      <c r="T1771" s="150" t="s">
        <v>1565</v>
      </c>
      <c r="U1771" s="150" t="s">
        <v>1593</v>
      </c>
      <c r="V1771" s="150" t="s">
        <v>1908</v>
      </c>
      <c r="Z1771" s="149" t="s">
        <v>167</v>
      </c>
      <c r="AE1771" s="149" t="s">
        <v>1726</v>
      </c>
      <c r="AF1771" s="152" t="s">
        <v>1761</v>
      </c>
      <c r="AG1771" s="149" t="s">
        <v>160</v>
      </c>
      <c r="AH1771" s="154" t="s">
        <v>1791</v>
      </c>
      <c r="AR1771" s="35" t="s">
        <v>192</v>
      </c>
      <c r="AS1771" s="35">
        <v>4</v>
      </c>
      <c r="AT1771" s="35">
        <v>4</v>
      </c>
      <c r="AU1771" s="35" t="s">
        <v>379</v>
      </c>
      <c r="BM1771" s="149">
        <v>3.1</v>
      </c>
      <c r="BN1771" s="149">
        <v>1.6</v>
      </c>
      <c r="BO1771" s="149" t="s">
        <v>1858</v>
      </c>
    </row>
    <row r="1772" spans="1:160" s="149" customFormat="1" x14ac:dyDescent="0.25">
      <c r="A1772" s="149">
        <v>82</v>
      </c>
      <c r="B1772" s="149" t="s">
        <v>1637</v>
      </c>
      <c r="C1772" s="149" t="s">
        <v>1638</v>
      </c>
      <c r="D1772" s="149">
        <v>2007</v>
      </c>
      <c r="E1772" s="149">
        <v>2001</v>
      </c>
      <c r="F1772" s="149" t="s">
        <v>1639</v>
      </c>
      <c r="G1772" s="149" t="s">
        <v>1640</v>
      </c>
      <c r="H1772" s="149">
        <v>42.74</v>
      </c>
      <c r="I1772" s="149">
        <v>-84.48</v>
      </c>
      <c r="J1772" s="149">
        <v>260</v>
      </c>
      <c r="O1772" s="150"/>
      <c r="P1772" s="150">
        <v>2</v>
      </c>
      <c r="Q1772" s="150"/>
      <c r="R1772" s="150"/>
      <c r="S1772" s="150" t="s">
        <v>1579</v>
      </c>
      <c r="T1772" s="150" t="s">
        <v>1565</v>
      </c>
      <c r="U1772" s="150" t="s">
        <v>1593</v>
      </c>
      <c r="V1772" s="150" t="s">
        <v>1908</v>
      </c>
      <c r="Z1772" s="149" t="s">
        <v>167</v>
      </c>
      <c r="AE1772" s="149" t="s">
        <v>1727</v>
      </c>
      <c r="AF1772" s="152" t="s">
        <v>1761</v>
      </c>
      <c r="AG1772" s="149" t="s">
        <v>160</v>
      </c>
      <c r="AH1772" s="154" t="s">
        <v>1791</v>
      </c>
      <c r="AR1772" s="35" t="s">
        <v>192</v>
      </c>
      <c r="AS1772" s="35">
        <v>4</v>
      </c>
      <c r="AT1772" s="35">
        <v>4</v>
      </c>
      <c r="AU1772" s="35" t="s">
        <v>379</v>
      </c>
      <c r="BM1772" s="149">
        <v>3.1</v>
      </c>
      <c r="BN1772" s="149">
        <v>1.9</v>
      </c>
      <c r="BO1772" s="149" t="s">
        <v>1858</v>
      </c>
    </row>
    <row r="1773" spans="1:160" s="149" customFormat="1" x14ac:dyDescent="0.25">
      <c r="A1773" s="149">
        <v>82</v>
      </c>
      <c r="B1773" s="149" t="s">
        <v>1637</v>
      </c>
      <c r="C1773" s="149" t="s">
        <v>1638</v>
      </c>
      <c r="D1773" s="149">
        <v>2007</v>
      </c>
      <c r="E1773" s="149">
        <v>2001</v>
      </c>
      <c r="F1773" s="149" t="s">
        <v>1639</v>
      </c>
      <c r="G1773" s="149" t="s">
        <v>1640</v>
      </c>
      <c r="H1773" s="149">
        <v>42.74</v>
      </c>
      <c r="I1773" s="149">
        <v>-84.48</v>
      </c>
      <c r="J1773" s="149">
        <v>260</v>
      </c>
      <c r="O1773" s="150"/>
      <c r="P1773" s="150">
        <v>2</v>
      </c>
      <c r="Q1773" s="150"/>
      <c r="R1773" s="150"/>
      <c r="S1773" s="150" t="s">
        <v>1579</v>
      </c>
      <c r="T1773" s="150" t="s">
        <v>1565</v>
      </c>
      <c r="U1773" s="150" t="s">
        <v>1593</v>
      </c>
      <c r="V1773" s="150" t="s">
        <v>1908</v>
      </c>
      <c r="Z1773" s="149" t="s">
        <v>167</v>
      </c>
      <c r="AE1773" s="149" t="s">
        <v>1728</v>
      </c>
      <c r="AF1773" s="152" t="s">
        <v>1761</v>
      </c>
      <c r="AG1773" s="149" t="s">
        <v>160</v>
      </c>
      <c r="AH1773" s="154" t="s">
        <v>1791</v>
      </c>
      <c r="AR1773" s="35" t="s">
        <v>192</v>
      </c>
      <c r="AS1773" s="35">
        <v>4</v>
      </c>
      <c r="AT1773" s="35">
        <v>4</v>
      </c>
      <c r="AU1773" s="35" t="s">
        <v>379</v>
      </c>
      <c r="BM1773" s="149">
        <v>3.1</v>
      </c>
      <c r="BN1773" s="149">
        <v>1.6</v>
      </c>
      <c r="BO1773" s="149" t="s">
        <v>1858</v>
      </c>
    </row>
    <row r="1774" spans="1:160" s="149" customFormat="1" x14ac:dyDescent="0.25">
      <c r="A1774" s="149">
        <v>82</v>
      </c>
      <c r="B1774" s="149" t="s">
        <v>1637</v>
      </c>
      <c r="C1774" s="149" t="s">
        <v>1638</v>
      </c>
      <c r="D1774" s="149">
        <v>2007</v>
      </c>
      <c r="E1774" s="149">
        <v>2001</v>
      </c>
      <c r="F1774" s="149" t="s">
        <v>1639</v>
      </c>
      <c r="G1774" s="149" t="s">
        <v>1640</v>
      </c>
      <c r="H1774" s="149">
        <v>42.74</v>
      </c>
      <c r="I1774" s="149">
        <v>-84.48</v>
      </c>
      <c r="J1774" s="149">
        <v>260</v>
      </c>
      <c r="O1774" s="150"/>
      <c r="P1774" s="150">
        <v>2</v>
      </c>
      <c r="Q1774" s="150"/>
      <c r="R1774" s="150"/>
      <c r="S1774" s="150" t="s">
        <v>1579</v>
      </c>
      <c r="T1774" s="150" t="s">
        <v>1565</v>
      </c>
      <c r="U1774" s="150" t="s">
        <v>1593</v>
      </c>
      <c r="V1774" s="150" t="s">
        <v>1908</v>
      </c>
      <c r="Z1774" s="149" t="s">
        <v>167</v>
      </c>
      <c r="AE1774" s="149" t="s">
        <v>1729</v>
      </c>
      <c r="AF1774" s="152" t="s">
        <v>1761</v>
      </c>
      <c r="AG1774" s="149" t="s">
        <v>160</v>
      </c>
      <c r="AH1774" s="154" t="s">
        <v>1791</v>
      </c>
      <c r="AR1774" s="35" t="s">
        <v>192</v>
      </c>
      <c r="AS1774" s="35">
        <v>4</v>
      </c>
      <c r="AT1774" s="35">
        <v>4</v>
      </c>
      <c r="AU1774" s="35" t="s">
        <v>379</v>
      </c>
      <c r="BM1774" s="149">
        <v>3.1</v>
      </c>
      <c r="BN1774" s="149">
        <v>1.5</v>
      </c>
      <c r="BO1774" s="149" t="s">
        <v>1858</v>
      </c>
    </row>
    <row r="1775" spans="1:160" s="185" customFormat="1" x14ac:dyDescent="0.25">
      <c r="A1775" s="185">
        <v>83</v>
      </c>
      <c r="B1775" s="185" t="s">
        <v>1938</v>
      </c>
      <c r="C1775" s="185" t="s">
        <v>1945</v>
      </c>
      <c r="D1775" s="185">
        <v>2001</v>
      </c>
      <c r="E1775" s="185">
        <v>1996</v>
      </c>
      <c r="F1775" s="185" t="s">
        <v>1937</v>
      </c>
      <c r="G1775" s="185" t="s">
        <v>1939</v>
      </c>
      <c r="H1775" s="185">
        <f>34+41/60</f>
        <v>34.68333333333333</v>
      </c>
      <c r="I1775" s="185">
        <f>-86-52/60</f>
        <v>-86.86666666666666</v>
      </c>
      <c r="J1775" s="185">
        <v>185</v>
      </c>
      <c r="K1775" s="185">
        <v>15.7</v>
      </c>
      <c r="M1775" s="185">
        <v>1352</v>
      </c>
      <c r="P1775" s="185">
        <v>2</v>
      </c>
      <c r="Q1775" s="186"/>
      <c r="R1775" s="186"/>
      <c r="S1775" s="185" t="s">
        <v>1558</v>
      </c>
      <c r="T1775" s="189" t="s">
        <v>1558</v>
      </c>
      <c r="U1775" s="189" t="s">
        <v>1946</v>
      </c>
      <c r="V1775" s="185">
        <v>15</v>
      </c>
      <c r="W1775" s="187">
        <f t="shared" ref="W1775:W1780" si="258">AVERAGE(BG1775:BH1775)</f>
        <v>1.2606999999999999</v>
      </c>
      <c r="X1775" s="190">
        <v>35</v>
      </c>
      <c r="Y1775" s="190">
        <v>55</v>
      </c>
      <c r="Z1775" s="185" t="s">
        <v>1940</v>
      </c>
      <c r="AD1775" s="185" t="s">
        <v>1941</v>
      </c>
      <c r="AE1775" s="185" t="s">
        <v>1942</v>
      </c>
      <c r="AF1775" s="185" t="s">
        <v>159</v>
      </c>
      <c r="AG1775" s="185" t="s">
        <v>1943</v>
      </c>
      <c r="AH1775" s="185" t="s">
        <v>1797</v>
      </c>
      <c r="AI1775" s="185" t="s">
        <v>1256</v>
      </c>
      <c r="AJ1775" s="185" t="s">
        <v>1256</v>
      </c>
      <c r="AK1775" s="185" t="s">
        <v>212</v>
      </c>
      <c r="AL1775" s="185" t="s">
        <v>1198</v>
      </c>
      <c r="AM1775" s="185" t="s">
        <v>1198</v>
      </c>
      <c r="AN1775" s="185" t="s">
        <v>212</v>
      </c>
      <c r="AO1775" s="191" t="s">
        <v>1944</v>
      </c>
      <c r="AP1775" s="191" t="s">
        <v>1944</v>
      </c>
      <c r="AQ1775" s="185" t="s">
        <v>212</v>
      </c>
      <c r="AR1775" s="185" t="s">
        <v>147</v>
      </c>
      <c r="AS1775" s="185">
        <v>4</v>
      </c>
      <c r="AT1775" s="185">
        <v>4</v>
      </c>
      <c r="AU1775" s="185" t="s">
        <v>169</v>
      </c>
      <c r="BG1775" s="187">
        <v>1.2955000000000001</v>
      </c>
      <c r="BH1775" s="187">
        <v>1.2259</v>
      </c>
      <c r="BI1775" s="187"/>
      <c r="BJ1775" s="187">
        <v>1.8</v>
      </c>
      <c r="BK1775" s="187">
        <v>2.2000000000000002</v>
      </c>
      <c r="BM1775" s="185">
        <v>70.849999999999994</v>
      </c>
      <c r="BN1775" s="185">
        <v>57.49</v>
      </c>
      <c r="BO1775" s="185" t="s">
        <v>1947</v>
      </c>
      <c r="FD1775" s="186"/>
    </row>
    <row r="1776" spans="1:160" s="185" customFormat="1" x14ac:dyDescent="0.25">
      <c r="A1776" s="185">
        <v>83</v>
      </c>
      <c r="B1776" s="185" t="s">
        <v>1938</v>
      </c>
      <c r="C1776" s="185" t="s">
        <v>1945</v>
      </c>
      <c r="D1776" s="185">
        <v>2001</v>
      </c>
      <c r="E1776" s="185">
        <v>1996</v>
      </c>
      <c r="F1776" s="185" t="s">
        <v>1937</v>
      </c>
      <c r="G1776" s="185" t="s">
        <v>1939</v>
      </c>
      <c r="H1776" s="185">
        <f t="shared" ref="H1776:H1780" si="259">34+41/60</f>
        <v>34.68333333333333</v>
      </c>
      <c r="I1776" s="185">
        <f t="shared" ref="I1776:I1780" si="260">-86-52/60</f>
        <v>-86.86666666666666</v>
      </c>
      <c r="J1776" s="185">
        <v>185</v>
      </c>
      <c r="K1776" s="185">
        <v>15.7</v>
      </c>
      <c r="M1776" s="185">
        <v>1352</v>
      </c>
      <c r="P1776" s="185">
        <v>2</v>
      </c>
      <c r="Q1776" s="186"/>
      <c r="R1776" s="186"/>
      <c r="S1776" s="185" t="s">
        <v>1566</v>
      </c>
      <c r="T1776" s="189" t="s">
        <v>1558</v>
      </c>
      <c r="U1776" s="189" t="s">
        <v>1946</v>
      </c>
      <c r="V1776" s="185">
        <v>15</v>
      </c>
      <c r="W1776" s="187">
        <f t="shared" si="258"/>
        <v>1.3564000000000001</v>
      </c>
      <c r="X1776" s="190">
        <v>35</v>
      </c>
      <c r="Y1776" s="190">
        <v>55</v>
      </c>
      <c r="Z1776" s="185" t="s">
        <v>1940</v>
      </c>
      <c r="AD1776" s="185" t="s">
        <v>1941</v>
      </c>
      <c r="AE1776" s="185" t="s">
        <v>1942</v>
      </c>
      <c r="AF1776" s="185" t="s">
        <v>159</v>
      </c>
      <c r="AG1776" s="185" t="s">
        <v>1943</v>
      </c>
      <c r="AH1776" s="185" t="s">
        <v>1797</v>
      </c>
      <c r="AI1776" s="185" t="s">
        <v>1256</v>
      </c>
      <c r="AJ1776" s="185" t="s">
        <v>1256</v>
      </c>
      <c r="AK1776" s="185" t="s">
        <v>212</v>
      </c>
      <c r="AL1776" s="185" t="s">
        <v>1198</v>
      </c>
      <c r="AM1776" s="185" t="s">
        <v>1198</v>
      </c>
      <c r="AN1776" s="185" t="s">
        <v>212</v>
      </c>
      <c r="AO1776" s="191" t="s">
        <v>1944</v>
      </c>
      <c r="AP1776" s="191" t="s">
        <v>1944</v>
      </c>
      <c r="AQ1776" s="185" t="s">
        <v>212</v>
      </c>
      <c r="AR1776" s="185" t="s">
        <v>147</v>
      </c>
      <c r="AS1776" s="185">
        <v>4</v>
      </c>
      <c r="AT1776" s="185">
        <v>4</v>
      </c>
      <c r="AU1776" s="185" t="s">
        <v>169</v>
      </c>
      <c r="BG1776" s="187">
        <v>1.3999000000000001</v>
      </c>
      <c r="BH1776" s="187">
        <v>1.3129</v>
      </c>
      <c r="BI1776" s="187"/>
      <c r="BJ1776" s="187">
        <v>1.2</v>
      </c>
      <c r="BK1776" s="187">
        <v>1.7</v>
      </c>
      <c r="BM1776" s="185">
        <v>69.64</v>
      </c>
      <c r="BN1776" s="185">
        <v>60.32</v>
      </c>
      <c r="BO1776" s="185" t="s">
        <v>1947</v>
      </c>
      <c r="FD1776" s="186"/>
    </row>
    <row r="1777" spans="1:174" s="185" customFormat="1" x14ac:dyDescent="0.25">
      <c r="A1777" s="185">
        <v>83</v>
      </c>
      <c r="B1777" s="185" t="s">
        <v>1938</v>
      </c>
      <c r="C1777" s="185" t="s">
        <v>1945</v>
      </c>
      <c r="D1777" s="185">
        <v>2001</v>
      </c>
      <c r="E1777" s="185">
        <v>1996</v>
      </c>
      <c r="F1777" s="185" t="s">
        <v>1937</v>
      </c>
      <c r="G1777" s="185" t="s">
        <v>1939</v>
      </c>
      <c r="H1777" s="185">
        <f t="shared" si="259"/>
        <v>34.68333333333333</v>
      </c>
      <c r="I1777" s="185">
        <f t="shared" si="260"/>
        <v>-86.86666666666666</v>
      </c>
      <c r="J1777" s="185">
        <v>185</v>
      </c>
      <c r="K1777" s="185">
        <v>15.7</v>
      </c>
      <c r="M1777" s="185">
        <v>1352</v>
      </c>
      <c r="P1777" s="185">
        <v>2</v>
      </c>
      <c r="Q1777" s="186"/>
      <c r="R1777" s="186"/>
      <c r="S1777" s="185" t="s">
        <v>1565</v>
      </c>
      <c r="T1777" s="189" t="s">
        <v>1558</v>
      </c>
      <c r="U1777" s="189" t="s">
        <v>1946</v>
      </c>
      <c r="V1777" s="185">
        <v>30</v>
      </c>
      <c r="W1777" s="187">
        <f t="shared" si="258"/>
        <v>1.4782000000000002</v>
      </c>
      <c r="X1777" s="190">
        <v>35</v>
      </c>
      <c r="Y1777" s="190">
        <v>55</v>
      </c>
      <c r="Z1777" s="185" t="s">
        <v>1940</v>
      </c>
      <c r="AD1777" s="185" t="s">
        <v>1941</v>
      </c>
      <c r="AE1777" s="185" t="s">
        <v>1942</v>
      </c>
      <c r="AF1777" s="185" t="s">
        <v>159</v>
      </c>
      <c r="AG1777" s="185" t="s">
        <v>1943</v>
      </c>
      <c r="AH1777" s="185" t="s">
        <v>1797</v>
      </c>
      <c r="AI1777" s="185" t="s">
        <v>1256</v>
      </c>
      <c r="AJ1777" s="185" t="s">
        <v>1256</v>
      </c>
      <c r="AK1777" s="185" t="s">
        <v>212</v>
      </c>
      <c r="AL1777" s="185" t="s">
        <v>1198</v>
      </c>
      <c r="AM1777" s="185" t="s">
        <v>1198</v>
      </c>
      <c r="AN1777" s="185" t="s">
        <v>212</v>
      </c>
      <c r="AO1777" s="191" t="s">
        <v>1944</v>
      </c>
      <c r="AP1777" s="191" t="s">
        <v>1944</v>
      </c>
      <c r="AQ1777" s="185" t="s">
        <v>212</v>
      </c>
      <c r="AR1777" s="185" t="s">
        <v>147</v>
      </c>
      <c r="AS1777" s="185">
        <v>4</v>
      </c>
      <c r="AT1777" s="185">
        <v>4</v>
      </c>
      <c r="AU1777" s="185" t="s">
        <v>169</v>
      </c>
      <c r="BG1777" s="187">
        <v>1.3477000000000001</v>
      </c>
      <c r="BH1777" s="187">
        <v>1.6087</v>
      </c>
      <c r="BI1777" s="187"/>
      <c r="BJ1777" s="187">
        <v>1.5</v>
      </c>
      <c r="BK1777" s="187">
        <v>1.8286376790086811</v>
      </c>
      <c r="BM1777" s="185">
        <v>70.25</v>
      </c>
      <c r="BN1777" s="185">
        <v>58.9</v>
      </c>
      <c r="BO1777" s="185" t="s">
        <v>1947</v>
      </c>
      <c r="FD1777" s="186"/>
    </row>
    <row r="1778" spans="1:174" s="185" customFormat="1" x14ac:dyDescent="0.25">
      <c r="A1778" s="185">
        <v>83</v>
      </c>
      <c r="B1778" s="185" t="s">
        <v>1938</v>
      </c>
      <c r="C1778" s="185" t="s">
        <v>1945</v>
      </c>
      <c r="D1778" s="185">
        <v>2001</v>
      </c>
      <c r="E1778" s="185">
        <v>1996</v>
      </c>
      <c r="F1778" s="185" t="s">
        <v>1937</v>
      </c>
      <c r="G1778" s="185" t="s">
        <v>1939</v>
      </c>
      <c r="H1778" s="185">
        <f t="shared" si="259"/>
        <v>34.68333333333333</v>
      </c>
      <c r="I1778" s="185">
        <f t="shared" si="260"/>
        <v>-86.86666666666666</v>
      </c>
      <c r="J1778" s="185">
        <v>185</v>
      </c>
      <c r="K1778" s="185">
        <v>15.7</v>
      </c>
      <c r="M1778" s="185">
        <v>1352</v>
      </c>
      <c r="P1778" s="185">
        <v>2</v>
      </c>
      <c r="Q1778" s="186"/>
      <c r="R1778" s="186"/>
      <c r="S1778" s="185" t="s">
        <v>1578</v>
      </c>
      <c r="T1778" s="189" t="s">
        <v>1558</v>
      </c>
      <c r="U1778" s="189" t="s">
        <v>1946</v>
      </c>
      <c r="V1778" s="185">
        <v>30</v>
      </c>
      <c r="W1778" s="187">
        <f t="shared" si="258"/>
        <v>1.5530604651162792</v>
      </c>
      <c r="X1778" s="190">
        <v>35</v>
      </c>
      <c r="Y1778" s="190">
        <v>55</v>
      </c>
      <c r="Z1778" s="185" t="s">
        <v>1940</v>
      </c>
      <c r="AD1778" s="185" t="s">
        <v>1941</v>
      </c>
      <c r="AE1778" s="185" t="s">
        <v>1942</v>
      </c>
      <c r="AF1778" s="185" t="s">
        <v>159</v>
      </c>
      <c r="AG1778" s="185" t="s">
        <v>1943</v>
      </c>
      <c r="AH1778" s="185" t="s">
        <v>1797</v>
      </c>
      <c r="AI1778" s="185" t="s">
        <v>1256</v>
      </c>
      <c r="AJ1778" s="185" t="s">
        <v>1256</v>
      </c>
      <c r="AK1778" s="185" t="s">
        <v>212</v>
      </c>
      <c r="AL1778" s="185" t="s">
        <v>1198</v>
      </c>
      <c r="AM1778" s="185" t="s">
        <v>1198</v>
      </c>
      <c r="AN1778" s="185" t="s">
        <v>212</v>
      </c>
      <c r="AO1778" s="191" t="s">
        <v>1944</v>
      </c>
      <c r="AP1778" s="191" t="s">
        <v>1944</v>
      </c>
      <c r="AQ1778" s="185" t="s">
        <v>212</v>
      </c>
      <c r="AR1778" s="185" t="s">
        <v>147</v>
      </c>
      <c r="AS1778" s="185">
        <v>4</v>
      </c>
      <c r="AT1778" s="185">
        <v>4</v>
      </c>
      <c r="AU1778" s="185" t="s">
        <v>169</v>
      </c>
      <c r="BG1778" s="187">
        <v>1.5480023255813955</v>
      </c>
      <c r="BH1778" s="187">
        <v>1.558118604651163</v>
      </c>
      <c r="BI1778" s="187"/>
      <c r="BJ1778" s="187">
        <v>0.34883720930232498</v>
      </c>
      <c r="BK1778" s="187">
        <v>0.290697674418604</v>
      </c>
      <c r="BM1778" s="185">
        <v>42.5</v>
      </c>
      <c r="BN1778" s="185">
        <v>42.5</v>
      </c>
      <c r="BO1778" s="185" t="s">
        <v>1947</v>
      </c>
      <c r="FD1778" s="186"/>
    </row>
    <row r="1779" spans="1:174" s="185" customFormat="1" x14ac:dyDescent="0.25">
      <c r="A1779" s="185">
        <v>83</v>
      </c>
      <c r="B1779" s="185" t="s">
        <v>1938</v>
      </c>
      <c r="C1779" s="185" t="s">
        <v>1945</v>
      </c>
      <c r="D1779" s="185">
        <v>2001</v>
      </c>
      <c r="E1779" s="185">
        <v>1996</v>
      </c>
      <c r="F1779" s="185" t="s">
        <v>1937</v>
      </c>
      <c r="G1779" s="185" t="s">
        <v>1939</v>
      </c>
      <c r="H1779" s="185">
        <f t="shared" si="259"/>
        <v>34.68333333333333</v>
      </c>
      <c r="I1779" s="185">
        <f t="shared" si="260"/>
        <v>-86.86666666666666</v>
      </c>
      <c r="J1779" s="185">
        <v>185</v>
      </c>
      <c r="K1779" s="185">
        <v>15.7</v>
      </c>
      <c r="M1779" s="185">
        <v>1352</v>
      </c>
      <c r="P1779" s="185">
        <v>2</v>
      </c>
      <c r="Q1779" s="186"/>
      <c r="R1779" s="186"/>
      <c r="S1779" s="185" t="s">
        <v>1579</v>
      </c>
      <c r="T1779" s="189" t="s">
        <v>1558</v>
      </c>
      <c r="U1779" s="189" t="s">
        <v>1946</v>
      </c>
      <c r="V1779" s="185">
        <v>30</v>
      </c>
      <c r="W1779" s="187">
        <f t="shared" si="258"/>
        <v>1.5884674418604652</v>
      </c>
      <c r="X1779" s="190">
        <v>35</v>
      </c>
      <c r="Y1779" s="190">
        <v>55</v>
      </c>
      <c r="Z1779" s="185" t="s">
        <v>1940</v>
      </c>
      <c r="AD1779" s="185" t="s">
        <v>1941</v>
      </c>
      <c r="AE1779" s="185" t="s">
        <v>1942</v>
      </c>
      <c r="AF1779" s="185" t="s">
        <v>159</v>
      </c>
      <c r="AG1779" s="185" t="s">
        <v>1943</v>
      </c>
      <c r="AH1779" s="185" t="s">
        <v>1797</v>
      </c>
      <c r="AI1779" s="185" t="s">
        <v>1256</v>
      </c>
      <c r="AJ1779" s="185" t="s">
        <v>1256</v>
      </c>
      <c r="AK1779" s="185" t="s">
        <v>212</v>
      </c>
      <c r="AL1779" s="185" t="s">
        <v>1198</v>
      </c>
      <c r="AM1779" s="185" t="s">
        <v>1198</v>
      </c>
      <c r="AN1779" s="185" t="s">
        <v>212</v>
      </c>
      <c r="AO1779" s="191" t="s">
        <v>1944</v>
      </c>
      <c r="AP1779" s="191" t="s">
        <v>1944</v>
      </c>
      <c r="AQ1779" s="185" t="s">
        <v>212</v>
      </c>
      <c r="AR1779" s="185" t="s">
        <v>147</v>
      </c>
      <c r="AS1779" s="185">
        <v>4</v>
      </c>
      <c r="AT1779" s="185">
        <v>4</v>
      </c>
      <c r="AU1779" s="185" t="s">
        <v>169</v>
      </c>
      <c r="BG1779" s="187">
        <v>1.5884674418604652</v>
      </c>
      <c r="BH1779" s="187">
        <v>1.5884674418604652</v>
      </c>
      <c r="BI1779" s="187"/>
      <c r="BJ1779" s="187">
        <v>0.116279069767441</v>
      </c>
      <c r="BK1779" s="187">
        <v>0.116279069767441</v>
      </c>
      <c r="BM1779" s="185">
        <v>30.77</v>
      </c>
      <c r="BN1779" s="185">
        <v>30.77</v>
      </c>
      <c r="BO1779" s="185" t="s">
        <v>1947</v>
      </c>
      <c r="FD1779" s="186"/>
    </row>
    <row r="1780" spans="1:174" s="185" customFormat="1" x14ac:dyDescent="0.25">
      <c r="A1780" s="185">
        <v>83</v>
      </c>
      <c r="B1780" s="185" t="s">
        <v>1938</v>
      </c>
      <c r="C1780" s="185" t="s">
        <v>1945</v>
      </c>
      <c r="D1780" s="185">
        <v>2001</v>
      </c>
      <c r="E1780" s="185">
        <v>1996</v>
      </c>
      <c r="F1780" s="185" t="s">
        <v>1937</v>
      </c>
      <c r="G1780" s="185" t="s">
        <v>1939</v>
      </c>
      <c r="H1780" s="185">
        <f t="shared" si="259"/>
        <v>34.68333333333333</v>
      </c>
      <c r="I1780" s="185">
        <f t="shared" si="260"/>
        <v>-86.86666666666666</v>
      </c>
      <c r="J1780" s="185">
        <v>185</v>
      </c>
      <c r="K1780" s="185">
        <v>15.7</v>
      </c>
      <c r="M1780" s="185">
        <v>1352</v>
      </c>
      <c r="P1780" s="185">
        <v>2</v>
      </c>
      <c r="Q1780" s="186"/>
      <c r="R1780" s="186"/>
      <c r="S1780" s="185" t="s">
        <v>1586</v>
      </c>
      <c r="T1780" s="189" t="s">
        <v>1558</v>
      </c>
      <c r="U1780" s="189" t="s">
        <v>1946</v>
      </c>
      <c r="V1780" s="185">
        <v>60</v>
      </c>
      <c r="W1780" s="187">
        <f t="shared" si="258"/>
        <v>1.6087</v>
      </c>
      <c r="X1780" s="190">
        <v>35</v>
      </c>
      <c r="Y1780" s="190">
        <v>55</v>
      </c>
      <c r="Z1780" s="185" t="s">
        <v>1940</v>
      </c>
      <c r="AD1780" s="185" t="s">
        <v>1941</v>
      </c>
      <c r="AE1780" s="185" t="s">
        <v>1942</v>
      </c>
      <c r="AF1780" s="185" t="s">
        <v>159</v>
      </c>
      <c r="AG1780" s="185" t="s">
        <v>1943</v>
      </c>
      <c r="AH1780" s="185" t="s">
        <v>1797</v>
      </c>
      <c r="AI1780" s="185" t="s">
        <v>1256</v>
      </c>
      <c r="AJ1780" s="185" t="s">
        <v>1256</v>
      </c>
      <c r="AK1780" s="185" t="s">
        <v>212</v>
      </c>
      <c r="AL1780" s="185" t="s">
        <v>1198</v>
      </c>
      <c r="AM1780" s="185" t="s">
        <v>1198</v>
      </c>
      <c r="AN1780" s="185" t="s">
        <v>212</v>
      </c>
      <c r="AO1780" s="191" t="s">
        <v>1944</v>
      </c>
      <c r="AP1780" s="191" t="s">
        <v>1944</v>
      </c>
      <c r="AQ1780" s="185" t="s">
        <v>212</v>
      </c>
      <c r="AR1780" s="185" t="s">
        <v>147</v>
      </c>
      <c r="AS1780" s="185">
        <v>4</v>
      </c>
      <c r="AT1780" s="185">
        <v>4</v>
      </c>
      <c r="AU1780" s="185" t="s">
        <v>169</v>
      </c>
      <c r="BG1780" s="187">
        <v>1.6087</v>
      </c>
      <c r="BH1780" s="187">
        <v>1.6087</v>
      </c>
      <c r="BI1780" s="187"/>
      <c r="BJ1780" s="187">
        <v>1.8861898383372332E-2</v>
      </c>
      <c r="BK1780" s="187">
        <v>1.6515586377609637E-2</v>
      </c>
      <c r="BM1780" s="185">
        <v>36.64</v>
      </c>
      <c r="BN1780" s="185">
        <v>36.64</v>
      </c>
      <c r="BO1780" s="185" t="s">
        <v>1947</v>
      </c>
      <c r="FD1780" s="186"/>
    </row>
    <row r="1781" spans="1:174" s="35" customFormat="1" x14ac:dyDescent="0.25">
      <c r="A1781" s="35">
        <v>84</v>
      </c>
      <c r="B1781" s="35" t="s">
        <v>1645</v>
      </c>
      <c r="C1781" s="35" t="s">
        <v>1646</v>
      </c>
      <c r="D1781" s="35">
        <v>1998</v>
      </c>
      <c r="E1781" s="35">
        <v>1995</v>
      </c>
      <c r="F1781" s="35" t="s">
        <v>1647</v>
      </c>
      <c r="G1781" s="35" t="s">
        <v>1648</v>
      </c>
      <c r="H1781" s="35">
        <f t="shared" ref="H1781:H1792" si="261">58+23/60</f>
        <v>58.383333333333333</v>
      </c>
      <c r="I1781" s="35">
        <f t="shared" ref="I1781:I1792" si="262">-116-2/60</f>
        <v>-116.03333333333333</v>
      </c>
      <c r="J1781" s="35">
        <v>283</v>
      </c>
      <c r="P1781" s="54">
        <v>1</v>
      </c>
      <c r="Q1781" s="54"/>
      <c r="R1781" s="54"/>
      <c r="S1781" s="54" t="s">
        <v>1556</v>
      </c>
      <c r="T1781" s="54" t="s">
        <v>1556</v>
      </c>
      <c r="U1781" s="54" t="s">
        <v>1556</v>
      </c>
      <c r="V1781" s="54" t="s">
        <v>1904</v>
      </c>
      <c r="Z1781" s="35" t="s">
        <v>278</v>
      </c>
      <c r="AE1781" s="35" t="s">
        <v>1695</v>
      </c>
      <c r="AF1781" s="152" t="s">
        <v>666</v>
      </c>
      <c r="AG1781" s="35" t="s">
        <v>1782</v>
      </c>
      <c r="AH1781" s="155" t="s">
        <v>1792</v>
      </c>
      <c r="AR1781" s="35" t="s">
        <v>147</v>
      </c>
      <c r="AS1781" s="35">
        <v>3</v>
      </c>
      <c r="AT1781" s="35">
        <v>3</v>
      </c>
      <c r="AU1781" s="35" t="s">
        <v>169</v>
      </c>
      <c r="AZ1781" s="35" t="s">
        <v>1649</v>
      </c>
      <c r="EG1781" s="35">
        <v>4.0999999999999996</v>
      </c>
      <c r="EH1781" s="35">
        <v>4.17</v>
      </c>
      <c r="EI1781" s="35" t="s">
        <v>1841</v>
      </c>
      <c r="FR1781" s="35" t="s">
        <v>1652</v>
      </c>
    </row>
    <row r="1782" spans="1:174" s="35" customFormat="1" x14ac:dyDescent="0.25">
      <c r="A1782" s="35">
        <v>84</v>
      </c>
      <c r="B1782" s="35" t="s">
        <v>1645</v>
      </c>
      <c r="C1782" s="35" t="s">
        <v>1646</v>
      </c>
      <c r="D1782" s="35">
        <v>1998</v>
      </c>
      <c r="E1782" s="35">
        <v>1995</v>
      </c>
      <c r="F1782" s="35" t="s">
        <v>1647</v>
      </c>
      <c r="G1782" s="35" t="s">
        <v>1648</v>
      </c>
      <c r="H1782" s="35">
        <f t="shared" si="261"/>
        <v>58.383333333333333</v>
      </c>
      <c r="I1782" s="35">
        <f t="shared" si="262"/>
        <v>-116.03333333333333</v>
      </c>
      <c r="J1782" s="35">
        <v>283</v>
      </c>
      <c r="P1782" s="54">
        <v>1</v>
      </c>
      <c r="Q1782" s="54"/>
      <c r="R1782" s="54"/>
      <c r="S1782" s="54" t="s">
        <v>1556</v>
      </c>
      <c r="T1782" s="54" t="s">
        <v>1556</v>
      </c>
      <c r="U1782" s="54" t="s">
        <v>1556</v>
      </c>
      <c r="V1782" s="54" t="s">
        <v>1904</v>
      </c>
      <c r="Z1782" s="35" t="s">
        <v>278</v>
      </c>
      <c r="AE1782" s="35" t="s">
        <v>1695</v>
      </c>
      <c r="AF1782" s="152" t="s">
        <v>666</v>
      </c>
      <c r="AG1782" s="35" t="s">
        <v>1782</v>
      </c>
      <c r="AH1782" s="155" t="s">
        <v>1792</v>
      </c>
      <c r="AR1782" s="35" t="s">
        <v>147</v>
      </c>
      <c r="AS1782" s="35">
        <v>3</v>
      </c>
      <c r="AT1782" s="35">
        <v>3</v>
      </c>
      <c r="AU1782" s="35" t="s">
        <v>169</v>
      </c>
      <c r="AZ1782" s="35" t="s">
        <v>1650</v>
      </c>
      <c r="EG1782" s="35">
        <v>85</v>
      </c>
      <c r="EH1782" s="35">
        <v>92</v>
      </c>
      <c r="EI1782" s="35" t="s">
        <v>1842</v>
      </c>
      <c r="FR1782" s="35" t="s">
        <v>1652</v>
      </c>
    </row>
    <row r="1783" spans="1:174" s="35" customFormat="1" x14ac:dyDescent="0.25">
      <c r="A1783" s="35">
        <v>84</v>
      </c>
      <c r="B1783" s="35" t="s">
        <v>1645</v>
      </c>
      <c r="C1783" s="35" t="s">
        <v>1646</v>
      </c>
      <c r="D1783" s="35">
        <v>1998</v>
      </c>
      <c r="E1783" s="35">
        <v>1995</v>
      </c>
      <c r="F1783" s="35" t="s">
        <v>1647</v>
      </c>
      <c r="G1783" s="35" t="s">
        <v>1648</v>
      </c>
      <c r="H1783" s="35">
        <f t="shared" si="261"/>
        <v>58.383333333333333</v>
      </c>
      <c r="I1783" s="35">
        <f t="shared" si="262"/>
        <v>-116.03333333333333</v>
      </c>
      <c r="J1783" s="35">
        <v>283</v>
      </c>
      <c r="P1783" s="54">
        <v>1</v>
      </c>
      <c r="Q1783" s="54"/>
      <c r="R1783" s="54"/>
      <c r="S1783" s="54" t="s">
        <v>1556</v>
      </c>
      <c r="T1783" s="54" t="s">
        <v>1556</v>
      </c>
      <c r="U1783" s="54" t="s">
        <v>1556</v>
      </c>
      <c r="V1783" s="54" t="s">
        <v>1904</v>
      </c>
      <c r="Z1783" s="35" t="s">
        <v>278</v>
      </c>
      <c r="AE1783" s="35" t="s">
        <v>1695</v>
      </c>
      <c r="AF1783" s="152" t="s">
        <v>666</v>
      </c>
      <c r="AG1783" s="35" t="s">
        <v>1782</v>
      </c>
      <c r="AH1783" s="155" t="s">
        <v>1792</v>
      </c>
      <c r="AR1783" s="35" t="s">
        <v>147</v>
      </c>
      <c r="AS1783" s="35">
        <v>3</v>
      </c>
      <c r="AT1783" s="35">
        <v>3</v>
      </c>
      <c r="AU1783" s="35" t="s">
        <v>169</v>
      </c>
      <c r="AZ1783" s="35" t="s">
        <v>1651</v>
      </c>
      <c r="EG1783" s="35">
        <v>0.93</v>
      </c>
      <c r="EH1783" s="35">
        <v>0.92</v>
      </c>
      <c r="EI1783" s="35" t="s">
        <v>1843</v>
      </c>
      <c r="FR1783" s="35" t="s">
        <v>1652</v>
      </c>
    </row>
    <row r="1784" spans="1:174" s="35" customFormat="1" x14ac:dyDescent="0.25">
      <c r="A1784" s="35">
        <v>84</v>
      </c>
      <c r="B1784" s="35" t="s">
        <v>1645</v>
      </c>
      <c r="C1784" s="35" t="s">
        <v>1646</v>
      </c>
      <c r="D1784" s="35">
        <v>1998</v>
      </c>
      <c r="E1784" s="35">
        <v>1995</v>
      </c>
      <c r="F1784" s="35" t="s">
        <v>1647</v>
      </c>
      <c r="G1784" s="35" t="s">
        <v>1648</v>
      </c>
      <c r="H1784" s="35">
        <f t="shared" si="261"/>
        <v>58.383333333333333</v>
      </c>
      <c r="I1784" s="35">
        <f t="shared" si="262"/>
        <v>-116.03333333333333</v>
      </c>
      <c r="J1784" s="35">
        <v>283</v>
      </c>
      <c r="P1784" s="54">
        <v>1</v>
      </c>
      <c r="Q1784" s="54"/>
      <c r="R1784" s="54"/>
      <c r="S1784" s="54" t="s">
        <v>1556</v>
      </c>
      <c r="T1784" s="54" t="s">
        <v>1556</v>
      </c>
      <c r="U1784" s="54" t="s">
        <v>1556</v>
      </c>
      <c r="V1784" s="54" t="s">
        <v>1904</v>
      </c>
      <c r="Z1784" s="35" t="s">
        <v>278</v>
      </c>
      <c r="AE1784" s="35" t="s">
        <v>1718</v>
      </c>
      <c r="AF1784" s="152" t="s">
        <v>666</v>
      </c>
      <c r="AG1784" s="35" t="s">
        <v>1782</v>
      </c>
      <c r="AH1784" s="155" t="s">
        <v>1792</v>
      </c>
      <c r="AR1784" s="35" t="s">
        <v>147</v>
      </c>
      <c r="AS1784" s="35">
        <v>3</v>
      </c>
      <c r="AT1784" s="35">
        <v>3</v>
      </c>
      <c r="AU1784" s="35" t="s">
        <v>169</v>
      </c>
      <c r="AZ1784" s="35" t="s">
        <v>1649</v>
      </c>
      <c r="EG1784" s="35">
        <v>4.0999999999999996</v>
      </c>
      <c r="EH1784" s="35">
        <v>4.1100000000000003</v>
      </c>
      <c r="EI1784" s="35" t="s">
        <v>1841</v>
      </c>
      <c r="FR1784" s="35" t="s">
        <v>1652</v>
      </c>
    </row>
    <row r="1785" spans="1:174" s="35" customFormat="1" x14ac:dyDescent="0.25">
      <c r="A1785" s="35">
        <v>84</v>
      </c>
      <c r="B1785" s="35" t="s">
        <v>1645</v>
      </c>
      <c r="C1785" s="35" t="s">
        <v>1646</v>
      </c>
      <c r="D1785" s="35">
        <v>1998</v>
      </c>
      <c r="E1785" s="35">
        <v>1995</v>
      </c>
      <c r="F1785" s="35" t="s">
        <v>1647</v>
      </c>
      <c r="G1785" s="35" t="s">
        <v>1648</v>
      </c>
      <c r="H1785" s="35">
        <f t="shared" si="261"/>
        <v>58.383333333333333</v>
      </c>
      <c r="I1785" s="35">
        <f t="shared" si="262"/>
        <v>-116.03333333333333</v>
      </c>
      <c r="J1785" s="35">
        <v>283</v>
      </c>
      <c r="P1785" s="54">
        <v>1</v>
      </c>
      <c r="Q1785" s="54"/>
      <c r="R1785" s="54"/>
      <c r="S1785" s="54" t="s">
        <v>1556</v>
      </c>
      <c r="T1785" s="54" t="s">
        <v>1556</v>
      </c>
      <c r="U1785" s="54" t="s">
        <v>1556</v>
      </c>
      <c r="V1785" s="54" t="s">
        <v>1904</v>
      </c>
      <c r="Z1785" s="35" t="s">
        <v>278</v>
      </c>
      <c r="AE1785" s="35" t="s">
        <v>1718</v>
      </c>
      <c r="AF1785" s="152" t="s">
        <v>666</v>
      </c>
      <c r="AG1785" s="35" t="s">
        <v>1782</v>
      </c>
      <c r="AH1785" s="155" t="s">
        <v>1792</v>
      </c>
      <c r="AR1785" s="35" t="s">
        <v>147</v>
      </c>
      <c r="AS1785" s="35">
        <v>3</v>
      </c>
      <c r="AT1785" s="35">
        <v>3</v>
      </c>
      <c r="AU1785" s="35" t="s">
        <v>169</v>
      </c>
      <c r="AZ1785" s="35" t="s">
        <v>1650</v>
      </c>
      <c r="EG1785" s="35">
        <v>85</v>
      </c>
      <c r="EH1785" s="35">
        <v>91</v>
      </c>
      <c r="EI1785" s="35" t="s">
        <v>1842</v>
      </c>
      <c r="FR1785" s="35" t="s">
        <v>1652</v>
      </c>
    </row>
    <row r="1786" spans="1:174" s="35" customFormat="1" x14ac:dyDescent="0.25">
      <c r="A1786" s="35">
        <v>84</v>
      </c>
      <c r="B1786" s="35" t="s">
        <v>1645</v>
      </c>
      <c r="C1786" s="35" t="s">
        <v>1646</v>
      </c>
      <c r="D1786" s="35">
        <v>1998</v>
      </c>
      <c r="E1786" s="35">
        <v>1995</v>
      </c>
      <c r="F1786" s="35" t="s">
        <v>1647</v>
      </c>
      <c r="G1786" s="35" t="s">
        <v>1648</v>
      </c>
      <c r="H1786" s="35">
        <f t="shared" si="261"/>
        <v>58.383333333333333</v>
      </c>
      <c r="I1786" s="35">
        <f t="shared" si="262"/>
        <v>-116.03333333333333</v>
      </c>
      <c r="J1786" s="35">
        <v>283</v>
      </c>
      <c r="P1786" s="54">
        <v>1</v>
      </c>
      <c r="Q1786" s="54"/>
      <c r="R1786" s="54"/>
      <c r="S1786" s="54" t="s">
        <v>1556</v>
      </c>
      <c r="T1786" s="54" t="s">
        <v>1556</v>
      </c>
      <c r="U1786" s="54" t="s">
        <v>1556</v>
      </c>
      <c r="V1786" s="54" t="s">
        <v>1904</v>
      </c>
      <c r="Z1786" s="35" t="s">
        <v>278</v>
      </c>
      <c r="AE1786" s="35" t="s">
        <v>1718</v>
      </c>
      <c r="AF1786" s="152" t="s">
        <v>666</v>
      </c>
      <c r="AG1786" s="35" t="s">
        <v>1782</v>
      </c>
      <c r="AH1786" s="155" t="s">
        <v>1792</v>
      </c>
      <c r="AR1786" s="35" t="s">
        <v>147</v>
      </c>
      <c r="AS1786" s="35">
        <v>3</v>
      </c>
      <c r="AT1786" s="35">
        <v>3</v>
      </c>
      <c r="AU1786" s="35" t="s">
        <v>169</v>
      </c>
      <c r="AZ1786" s="35" t="s">
        <v>1651</v>
      </c>
      <c r="EG1786" s="35">
        <v>0.93</v>
      </c>
      <c r="EH1786" s="35">
        <v>0.91</v>
      </c>
      <c r="EI1786" s="35" t="s">
        <v>1843</v>
      </c>
      <c r="FR1786" s="35" t="s">
        <v>1652</v>
      </c>
    </row>
    <row r="1787" spans="1:174" s="26" customFormat="1" x14ac:dyDescent="0.25">
      <c r="A1787" s="26">
        <v>84</v>
      </c>
      <c r="B1787" s="26" t="s">
        <v>1645</v>
      </c>
      <c r="C1787" s="26" t="s">
        <v>1646</v>
      </c>
      <c r="D1787" s="26">
        <v>1998</v>
      </c>
      <c r="E1787" s="26">
        <v>1996</v>
      </c>
      <c r="F1787" s="26" t="s">
        <v>1647</v>
      </c>
      <c r="G1787" s="26" t="s">
        <v>1648</v>
      </c>
      <c r="H1787" s="26">
        <f t="shared" si="261"/>
        <v>58.383333333333333</v>
      </c>
      <c r="I1787" s="26">
        <f t="shared" si="262"/>
        <v>-116.03333333333333</v>
      </c>
      <c r="J1787" s="26">
        <v>283</v>
      </c>
      <c r="P1787" s="52">
        <v>2</v>
      </c>
      <c r="Q1787" s="52"/>
      <c r="R1787" s="52"/>
      <c r="S1787" s="52" t="s">
        <v>1556</v>
      </c>
      <c r="T1787" s="52" t="s">
        <v>1556</v>
      </c>
      <c r="U1787" s="52" t="s">
        <v>1556</v>
      </c>
      <c r="V1787" s="52" t="s">
        <v>1904</v>
      </c>
      <c r="Z1787" s="26" t="s">
        <v>278</v>
      </c>
      <c r="AE1787" s="26" t="s">
        <v>1695</v>
      </c>
      <c r="AF1787" s="152" t="s">
        <v>666</v>
      </c>
      <c r="AG1787" s="26" t="s">
        <v>1782</v>
      </c>
      <c r="AH1787" s="155" t="s">
        <v>1792</v>
      </c>
      <c r="AR1787" s="26" t="s">
        <v>147</v>
      </c>
      <c r="AS1787" s="26">
        <v>3</v>
      </c>
      <c r="AT1787" s="26">
        <v>3</v>
      </c>
      <c r="AU1787" s="26" t="s">
        <v>169</v>
      </c>
      <c r="AZ1787" s="26" t="s">
        <v>1649</v>
      </c>
      <c r="EG1787" s="26">
        <v>3.71</v>
      </c>
      <c r="EH1787" s="26">
        <v>4.09</v>
      </c>
      <c r="EI1787" s="26" t="s">
        <v>1841</v>
      </c>
      <c r="FR1787" s="26" t="s">
        <v>1652</v>
      </c>
    </row>
    <row r="1788" spans="1:174" s="26" customFormat="1" x14ac:dyDescent="0.25">
      <c r="A1788" s="26">
        <v>84</v>
      </c>
      <c r="B1788" s="26" t="s">
        <v>1645</v>
      </c>
      <c r="C1788" s="26" t="s">
        <v>1646</v>
      </c>
      <c r="D1788" s="26">
        <v>1998</v>
      </c>
      <c r="E1788" s="26">
        <v>1996</v>
      </c>
      <c r="F1788" s="26" t="s">
        <v>1647</v>
      </c>
      <c r="G1788" s="26" t="s">
        <v>1648</v>
      </c>
      <c r="H1788" s="26">
        <f t="shared" si="261"/>
        <v>58.383333333333333</v>
      </c>
      <c r="I1788" s="26">
        <f t="shared" si="262"/>
        <v>-116.03333333333333</v>
      </c>
      <c r="J1788" s="26">
        <v>283</v>
      </c>
      <c r="P1788" s="52">
        <v>2</v>
      </c>
      <c r="Q1788" s="52"/>
      <c r="R1788" s="52"/>
      <c r="S1788" s="52" t="s">
        <v>1556</v>
      </c>
      <c r="T1788" s="52" t="s">
        <v>1556</v>
      </c>
      <c r="U1788" s="52" t="s">
        <v>1556</v>
      </c>
      <c r="V1788" s="52" t="s">
        <v>1904</v>
      </c>
      <c r="Z1788" s="26" t="s">
        <v>278</v>
      </c>
      <c r="AE1788" s="26" t="s">
        <v>1695</v>
      </c>
      <c r="AF1788" s="152" t="s">
        <v>666</v>
      </c>
      <c r="AG1788" s="26" t="s">
        <v>1782</v>
      </c>
      <c r="AH1788" s="155" t="s">
        <v>1792</v>
      </c>
      <c r="AR1788" s="26" t="s">
        <v>147</v>
      </c>
      <c r="AS1788" s="26">
        <v>3</v>
      </c>
      <c r="AT1788" s="26">
        <v>3</v>
      </c>
      <c r="AU1788" s="26" t="s">
        <v>169</v>
      </c>
      <c r="AZ1788" s="26" t="s">
        <v>1650</v>
      </c>
      <c r="EG1788" s="26">
        <v>71</v>
      </c>
      <c r="EH1788" s="26">
        <v>91</v>
      </c>
      <c r="EI1788" s="26" t="s">
        <v>1842</v>
      </c>
      <c r="FR1788" s="26" t="s">
        <v>1652</v>
      </c>
    </row>
    <row r="1789" spans="1:174" s="26" customFormat="1" x14ac:dyDescent="0.25">
      <c r="A1789" s="26">
        <v>84</v>
      </c>
      <c r="B1789" s="26" t="s">
        <v>1645</v>
      </c>
      <c r="C1789" s="26" t="s">
        <v>1646</v>
      </c>
      <c r="D1789" s="26">
        <v>1998</v>
      </c>
      <c r="E1789" s="26">
        <v>1996</v>
      </c>
      <c r="F1789" s="26" t="s">
        <v>1647</v>
      </c>
      <c r="G1789" s="26" t="s">
        <v>1648</v>
      </c>
      <c r="H1789" s="26">
        <f t="shared" si="261"/>
        <v>58.383333333333333</v>
      </c>
      <c r="I1789" s="26">
        <f t="shared" si="262"/>
        <v>-116.03333333333333</v>
      </c>
      <c r="J1789" s="26">
        <v>283</v>
      </c>
      <c r="P1789" s="52">
        <v>2</v>
      </c>
      <c r="Q1789" s="52"/>
      <c r="R1789" s="52"/>
      <c r="S1789" s="52" t="s">
        <v>1556</v>
      </c>
      <c r="T1789" s="52" t="s">
        <v>1556</v>
      </c>
      <c r="U1789" s="52" t="s">
        <v>1556</v>
      </c>
      <c r="V1789" s="52" t="s">
        <v>1904</v>
      </c>
      <c r="Z1789" s="26" t="s">
        <v>278</v>
      </c>
      <c r="AE1789" s="26" t="s">
        <v>1695</v>
      </c>
      <c r="AF1789" s="152" t="s">
        <v>666</v>
      </c>
      <c r="AG1789" s="26" t="s">
        <v>1782</v>
      </c>
      <c r="AH1789" s="155" t="s">
        <v>1792</v>
      </c>
      <c r="AR1789" s="26" t="s">
        <v>147</v>
      </c>
      <c r="AS1789" s="26">
        <v>3</v>
      </c>
      <c r="AT1789" s="26">
        <v>3</v>
      </c>
      <c r="AU1789" s="26" t="s">
        <v>169</v>
      </c>
      <c r="AZ1789" s="26" t="s">
        <v>1651</v>
      </c>
      <c r="EG1789" s="26">
        <v>0.87</v>
      </c>
      <c r="EH1789" s="26">
        <v>0.91</v>
      </c>
      <c r="EI1789" s="26" t="s">
        <v>1843</v>
      </c>
      <c r="FR1789" s="26" t="s">
        <v>1652</v>
      </c>
    </row>
    <row r="1790" spans="1:174" s="26" customFormat="1" x14ac:dyDescent="0.25">
      <c r="A1790" s="26">
        <v>84</v>
      </c>
      <c r="B1790" s="26" t="s">
        <v>1645</v>
      </c>
      <c r="C1790" s="26" t="s">
        <v>1646</v>
      </c>
      <c r="D1790" s="26">
        <v>1998</v>
      </c>
      <c r="E1790" s="26">
        <v>1996</v>
      </c>
      <c r="F1790" s="26" t="s">
        <v>1647</v>
      </c>
      <c r="G1790" s="26" t="s">
        <v>1648</v>
      </c>
      <c r="H1790" s="26">
        <f t="shared" si="261"/>
        <v>58.383333333333333</v>
      </c>
      <c r="I1790" s="26">
        <f t="shared" si="262"/>
        <v>-116.03333333333333</v>
      </c>
      <c r="J1790" s="26">
        <v>283</v>
      </c>
      <c r="P1790" s="52">
        <v>2</v>
      </c>
      <c r="Q1790" s="52"/>
      <c r="R1790" s="52"/>
      <c r="S1790" s="52" t="s">
        <v>1556</v>
      </c>
      <c r="T1790" s="52" t="s">
        <v>1556</v>
      </c>
      <c r="U1790" s="52" t="s">
        <v>1556</v>
      </c>
      <c r="V1790" s="52" t="s">
        <v>1904</v>
      </c>
      <c r="Z1790" s="26" t="s">
        <v>278</v>
      </c>
      <c r="AE1790" s="26" t="s">
        <v>1718</v>
      </c>
      <c r="AF1790" s="152" t="s">
        <v>666</v>
      </c>
      <c r="AG1790" s="26" t="s">
        <v>1782</v>
      </c>
      <c r="AH1790" s="155" t="s">
        <v>1792</v>
      </c>
      <c r="AR1790" s="26" t="s">
        <v>147</v>
      </c>
      <c r="AS1790" s="26">
        <v>3</v>
      </c>
      <c r="AT1790" s="26">
        <v>3</v>
      </c>
      <c r="AU1790" s="26" t="s">
        <v>169</v>
      </c>
      <c r="AZ1790" s="26" t="s">
        <v>1649</v>
      </c>
      <c r="EG1790" s="26">
        <v>3.71</v>
      </c>
      <c r="EH1790" s="26">
        <v>4.04</v>
      </c>
      <c r="EI1790" s="26" t="s">
        <v>1841</v>
      </c>
      <c r="FR1790" s="26" t="s">
        <v>1652</v>
      </c>
    </row>
    <row r="1791" spans="1:174" s="26" customFormat="1" x14ac:dyDescent="0.25">
      <c r="A1791" s="26">
        <v>84</v>
      </c>
      <c r="B1791" s="26" t="s">
        <v>1645</v>
      </c>
      <c r="C1791" s="26" t="s">
        <v>1646</v>
      </c>
      <c r="D1791" s="26">
        <v>1998</v>
      </c>
      <c r="E1791" s="26">
        <v>1996</v>
      </c>
      <c r="F1791" s="26" t="s">
        <v>1647</v>
      </c>
      <c r="G1791" s="26" t="s">
        <v>1648</v>
      </c>
      <c r="H1791" s="26">
        <f t="shared" si="261"/>
        <v>58.383333333333333</v>
      </c>
      <c r="I1791" s="26">
        <f t="shared" si="262"/>
        <v>-116.03333333333333</v>
      </c>
      <c r="J1791" s="26">
        <v>283</v>
      </c>
      <c r="P1791" s="52">
        <v>2</v>
      </c>
      <c r="Q1791" s="52"/>
      <c r="R1791" s="52"/>
      <c r="S1791" s="52" t="s">
        <v>1556</v>
      </c>
      <c r="T1791" s="52" t="s">
        <v>1556</v>
      </c>
      <c r="U1791" s="52" t="s">
        <v>1556</v>
      </c>
      <c r="V1791" s="52" t="s">
        <v>1904</v>
      </c>
      <c r="Z1791" s="26" t="s">
        <v>278</v>
      </c>
      <c r="AE1791" s="26" t="s">
        <v>1718</v>
      </c>
      <c r="AF1791" s="152" t="s">
        <v>666</v>
      </c>
      <c r="AG1791" s="26" t="s">
        <v>1782</v>
      </c>
      <c r="AH1791" s="155" t="s">
        <v>1792</v>
      </c>
      <c r="AR1791" s="26" t="s">
        <v>147</v>
      </c>
      <c r="AS1791" s="26">
        <v>3</v>
      </c>
      <c r="AT1791" s="26">
        <v>3</v>
      </c>
      <c r="AU1791" s="26" t="s">
        <v>169</v>
      </c>
      <c r="AZ1791" s="26" t="s">
        <v>1650</v>
      </c>
      <c r="EG1791" s="26">
        <v>71</v>
      </c>
      <c r="EH1791" s="26">
        <v>88</v>
      </c>
      <c r="EI1791" s="26" t="s">
        <v>1842</v>
      </c>
      <c r="FR1791" s="26" t="s">
        <v>1652</v>
      </c>
    </row>
    <row r="1792" spans="1:174" s="26" customFormat="1" x14ac:dyDescent="0.25">
      <c r="A1792" s="26">
        <v>84</v>
      </c>
      <c r="B1792" s="26" t="s">
        <v>1645</v>
      </c>
      <c r="C1792" s="26" t="s">
        <v>1646</v>
      </c>
      <c r="D1792" s="26">
        <v>1998</v>
      </c>
      <c r="E1792" s="26">
        <v>1996</v>
      </c>
      <c r="F1792" s="26" t="s">
        <v>1647</v>
      </c>
      <c r="G1792" s="26" t="s">
        <v>1648</v>
      </c>
      <c r="H1792" s="26">
        <f t="shared" si="261"/>
        <v>58.383333333333333</v>
      </c>
      <c r="I1792" s="26">
        <f t="shared" si="262"/>
        <v>-116.03333333333333</v>
      </c>
      <c r="J1792" s="26">
        <v>283</v>
      </c>
      <c r="P1792" s="52">
        <v>2</v>
      </c>
      <c r="Q1792" s="52"/>
      <c r="R1792" s="52"/>
      <c r="S1792" s="52" t="s">
        <v>1556</v>
      </c>
      <c r="T1792" s="52" t="s">
        <v>1556</v>
      </c>
      <c r="U1792" s="52" t="s">
        <v>1556</v>
      </c>
      <c r="V1792" s="52" t="s">
        <v>1904</v>
      </c>
      <c r="Z1792" s="26" t="s">
        <v>278</v>
      </c>
      <c r="AE1792" s="26" t="s">
        <v>1718</v>
      </c>
      <c r="AF1792" s="152" t="s">
        <v>666</v>
      </c>
      <c r="AG1792" s="26" t="s">
        <v>1782</v>
      </c>
      <c r="AH1792" s="155" t="s">
        <v>1792</v>
      </c>
      <c r="AR1792" s="26" t="s">
        <v>147</v>
      </c>
      <c r="AS1792" s="26">
        <v>3</v>
      </c>
      <c r="AT1792" s="26">
        <v>3</v>
      </c>
      <c r="AU1792" s="26" t="s">
        <v>169</v>
      </c>
      <c r="AZ1792" s="26" t="s">
        <v>1651</v>
      </c>
      <c r="EG1792" s="26">
        <v>0.87</v>
      </c>
      <c r="EH1792" s="26">
        <v>0.9</v>
      </c>
      <c r="EI1792" s="26" t="s">
        <v>1843</v>
      </c>
      <c r="FR1792" s="26" t="s">
        <v>1652</v>
      </c>
    </row>
    <row r="1793" spans="1:174" s="43" customFormat="1" x14ac:dyDescent="0.25">
      <c r="A1793" s="43">
        <v>85</v>
      </c>
      <c r="B1793" s="43" t="s">
        <v>1653</v>
      </c>
      <c r="C1793" s="43" t="s">
        <v>1654</v>
      </c>
      <c r="D1793" s="43">
        <v>2018</v>
      </c>
      <c r="E1793" s="43">
        <v>2014</v>
      </c>
      <c r="F1793" s="43" t="s">
        <v>336</v>
      </c>
      <c r="G1793" s="43" t="s">
        <v>1655</v>
      </c>
      <c r="H1793" s="43">
        <v>34.67</v>
      </c>
      <c r="I1793" s="43">
        <v>-82.85</v>
      </c>
      <c r="J1793" s="43">
        <v>191</v>
      </c>
      <c r="P1793" s="61">
        <v>1</v>
      </c>
      <c r="Q1793" s="61"/>
      <c r="R1793" s="61"/>
      <c r="S1793" s="61" t="s">
        <v>1558</v>
      </c>
      <c r="T1793" s="61" t="s">
        <v>1558</v>
      </c>
      <c r="U1793" s="61" t="s">
        <v>1558</v>
      </c>
      <c r="V1793" s="61" t="s">
        <v>1905</v>
      </c>
      <c r="Z1793" s="43" t="s">
        <v>278</v>
      </c>
      <c r="AE1793" s="43" t="s">
        <v>1760</v>
      </c>
      <c r="AF1793" s="152" t="s">
        <v>1762</v>
      </c>
      <c r="AG1793" s="43" t="s">
        <v>280</v>
      </c>
      <c r="AH1793" s="156" t="s">
        <v>1797</v>
      </c>
      <c r="AI1793" s="43" t="s">
        <v>1256</v>
      </c>
      <c r="AJ1793" s="43" t="s">
        <v>1256</v>
      </c>
      <c r="AK1793" s="43" t="s">
        <v>212</v>
      </c>
      <c r="AL1793" s="43" t="s">
        <v>572</v>
      </c>
      <c r="AM1793" s="43" t="s">
        <v>188</v>
      </c>
      <c r="AN1793" s="43" t="s">
        <v>587</v>
      </c>
      <c r="AO1793" s="43" t="s">
        <v>1660</v>
      </c>
      <c r="AP1793" s="43" t="s">
        <v>1660</v>
      </c>
      <c r="AQ1793" s="43" t="s">
        <v>212</v>
      </c>
      <c r="AR1793" s="43" t="s">
        <v>192</v>
      </c>
      <c r="AS1793" s="43">
        <v>3</v>
      </c>
      <c r="AT1793" s="43">
        <v>3</v>
      </c>
      <c r="AU1793" s="43" t="s">
        <v>379</v>
      </c>
      <c r="BD1793" s="43">
        <f>10.8*1000</f>
        <v>10800</v>
      </c>
      <c r="BE1793" s="43">
        <f>19.7*1000</f>
        <v>19700</v>
      </c>
      <c r="BM1793" s="43">
        <v>61.3</v>
      </c>
      <c r="BN1793" s="43">
        <v>74.099999999999994</v>
      </c>
      <c r="BO1793" s="43" t="s">
        <v>1659</v>
      </c>
      <c r="EP1793" s="43">
        <v>52</v>
      </c>
      <c r="EQ1793" s="43">
        <v>61.4</v>
      </c>
      <c r="ER1793" s="43" t="s">
        <v>1656</v>
      </c>
      <c r="FP1793" s="43">
        <v>99999</v>
      </c>
      <c r="FR1793" s="43" t="s">
        <v>1657</v>
      </c>
    </row>
    <row r="1794" spans="1:174" s="43" customFormat="1" x14ac:dyDescent="0.25">
      <c r="A1794" s="43">
        <v>85</v>
      </c>
      <c r="B1794" s="43" t="s">
        <v>1653</v>
      </c>
      <c r="C1794" s="43" t="s">
        <v>1654</v>
      </c>
      <c r="D1794" s="43">
        <v>2018</v>
      </c>
      <c r="E1794" s="43">
        <v>2015</v>
      </c>
      <c r="F1794" s="43" t="s">
        <v>336</v>
      </c>
      <c r="G1794" s="43" t="s">
        <v>1655</v>
      </c>
      <c r="H1794" s="43">
        <v>34.67</v>
      </c>
      <c r="I1794" s="43">
        <v>-82.85</v>
      </c>
      <c r="J1794" s="43">
        <v>191</v>
      </c>
      <c r="P1794" s="61">
        <v>2</v>
      </c>
      <c r="Q1794" s="61"/>
      <c r="R1794" s="61"/>
      <c r="S1794" s="61" t="s">
        <v>1558</v>
      </c>
      <c r="T1794" s="61" t="s">
        <v>1558</v>
      </c>
      <c r="U1794" s="61" t="s">
        <v>1558</v>
      </c>
      <c r="V1794" s="61" t="s">
        <v>1905</v>
      </c>
      <c r="Z1794" s="43" t="s">
        <v>278</v>
      </c>
      <c r="AE1794" s="43" t="s">
        <v>1760</v>
      </c>
      <c r="AF1794" s="152" t="s">
        <v>1762</v>
      </c>
      <c r="AG1794" s="43" t="s">
        <v>280</v>
      </c>
      <c r="AH1794" s="156" t="s">
        <v>1797</v>
      </c>
      <c r="AI1794" s="43" t="s">
        <v>1256</v>
      </c>
      <c r="AJ1794" s="43" t="s">
        <v>1256</v>
      </c>
      <c r="AK1794" s="43" t="s">
        <v>212</v>
      </c>
      <c r="AL1794" s="43" t="s">
        <v>572</v>
      </c>
      <c r="AM1794" s="43" t="s">
        <v>188</v>
      </c>
      <c r="AN1794" s="43" t="s">
        <v>587</v>
      </c>
      <c r="AO1794" s="43" t="s">
        <v>1660</v>
      </c>
      <c r="AP1794" s="43" t="s">
        <v>1660</v>
      </c>
      <c r="AQ1794" s="43" t="s">
        <v>212</v>
      </c>
      <c r="AR1794" s="43" t="s">
        <v>192</v>
      </c>
      <c r="AS1794" s="43">
        <v>3</v>
      </c>
      <c r="AT1794" s="43">
        <v>3</v>
      </c>
      <c r="AU1794" s="43" t="s">
        <v>379</v>
      </c>
      <c r="BD1794" s="43">
        <f>31*1000</f>
        <v>31000</v>
      </c>
      <c r="BE1794" s="43">
        <f>21.2*1000</f>
        <v>21200</v>
      </c>
      <c r="BM1794" s="43">
        <v>113.4</v>
      </c>
      <c r="BN1794" s="43">
        <v>102.6</v>
      </c>
      <c r="BO1794" s="43" t="s">
        <v>1659</v>
      </c>
      <c r="EP1794" s="43">
        <v>100.1</v>
      </c>
      <c r="EQ1794" s="43">
        <v>95</v>
      </c>
      <c r="ER1794" s="43" t="s">
        <v>1656</v>
      </c>
      <c r="FP1794" s="43">
        <v>99999</v>
      </c>
      <c r="FR1794" s="43" t="s">
        <v>1657</v>
      </c>
    </row>
    <row r="1795" spans="1:174" s="43" customFormat="1" x14ac:dyDescent="0.25">
      <c r="A1795" s="43">
        <v>85</v>
      </c>
      <c r="B1795" s="43" t="s">
        <v>1653</v>
      </c>
      <c r="C1795" s="43" t="s">
        <v>1654</v>
      </c>
      <c r="D1795" s="43">
        <v>2018</v>
      </c>
      <c r="E1795" s="43">
        <v>2014</v>
      </c>
      <c r="F1795" s="43" t="s">
        <v>336</v>
      </c>
      <c r="G1795" s="43" t="s">
        <v>1655</v>
      </c>
      <c r="H1795" s="43">
        <v>34.67</v>
      </c>
      <c r="I1795" s="43">
        <v>-82.85</v>
      </c>
      <c r="J1795" s="43">
        <v>191</v>
      </c>
      <c r="P1795" s="61">
        <v>1</v>
      </c>
      <c r="Q1795" s="61"/>
      <c r="R1795" s="61"/>
      <c r="S1795" s="61" t="s">
        <v>1558</v>
      </c>
      <c r="T1795" s="61" t="s">
        <v>1558</v>
      </c>
      <c r="U1795" s="61" t="s">
        <v>1558</v>
      </c>
      <c r="V1795" s="61" t="s">
        <v>1905</v>
      </c>
      <c r="Z1795" s="43" t="s">
        <v>278</v>
      </c>
      <c r="AE1795" s="43" t="s">
        <v>1760</v>
      </c>
      <c r="AF1795" s="152" t="s">
        <v>1762</v>
      </c>
      <c r="AG1795" s="43" t="s">
        <v>1658</v>
      </c>
      <c r="AH1795" s="156" t="s">
        <v>1797</v>
      </c>
      <c r="AI1795" s="43" t="s">
        <v>1256</v>
      </c>
      <c r="AJ1795" s="43" t="s">
        <v>1256</v>
      </c>
      <c r="AK1795" s="43" t="s">
        <v>212</v>
      </c>
      <c r="AL1795" s="43" t="s">
        <v>572</v>
      </c>
      <c r="AM1795" s="43" t="s">
        <v>188</v>
      </c>
      <c r="AN1795" s="43" t="s">
        <v>587</v>
      </c>
      <c r="AO1795" s="43" t="s">
        <v>1660</v>
      </c>
      <c r="AP1795" s="43" t="s">
        <v>1660</v>
      </c>
      <c r="AQ1795" s="43" t="s">
        <v>212</v>
      </c>
      <c r="AR1795" s="43" t="s">
        <v>192</v>
      </c>
      <c r="AS1795" s="43">
        <v>3</v>
      </c>
      <c r="AT1795" s="43">
        <v>3</v>
      </c>
      <c r="AU1795" s="43" t="s">
        <v>379</v>
      </c>
      <c r="BD1795" s="43">
        <f>57.8*1000</f>
        <v>57800</v>
      </c>
      <c r="BE1795" s="43">
        <f>54.5*1000</f>
        <v>54500</v>
      </c>
      <c r="BM1795" s="43">
        <v>65.900000000000006</v>
      </c>
      <c r="BN1795" s="43">
        <v>78.599999999999994</v>
      </c>
      <c r="BO1795" s="43" t="s">
        <v>1659</v>
      </c>
      <c r="EP1795" s="43">
        <v>55</v>
      </c>
      <c r="EQ1795" s="43">
        <v>65.2</v>
      </c>
      <c r="ER1795" s="43" t="s">
        <v>1656</v>
      </c>
      <c r="FP1795" s="43">
        <v>99999</v>
      </c>
      <c r="FR1795" s="43" t="s">
        <v>1657</v>
      </c>
    </row>
    <row r="1796" spans="1:174" s="43" customFormat="1" x14ac:dyDescent="0.25">
      <c r="A1796" s="43">
        <v>85</v>
      </c>
      <c r="B1796" s="43" t="s">
        <v>1653</v>
      </c>
      <c r="C1796" s="43" t="s">
        <v>1654</v>
      </c>
      <c r="D1796" s="43">
        <v>2018</v>
      </c>
      <c r="E1796" s="43">
        <v>2015</v>
      </c>
      <c r="F1796" s="43" t="s">
        <v>336</v>
      </c>
      <c r="G1796" s="43" t="s">
        <v>1655</v>
      </c>
      <c r="H1796" s="43">
        <v>34.67</v>
      </c>
      <c r="I1796" s="43">
        <v>-82.85</v>
      </c>
      <c r="J1796" s="43">
        <v>191</v>
      </c>
      <c r="P1796" s="61">
        <v>2</v>
      </c>
      <c r="Q1796" s="61"/>
      <c r="R1796" s="61"/>
      <c r="S1796" s="61" t="s">
        <v>1558</v>
      </c>
      <c r="T1796" s="61" t="s">
        <v>1558</v>
      </c>
      <c r="U1796" s="61" t="s">
        <v>1558</v>
      </c>
      <c r="V1796" s="61" t="s">
        <v>1905</v>
      </c>
      <c r="Z1796" s="43" t="s">
        <v>278</v>
      </c>
      <c r="AE1796" s="43" t="s">
        <v>1760</v>
      </c>
      <c r="AF1796" s="152" t="s">
        <v>1762</v>
      </c>
      <c r="AG1796" s="43" t="s">
        <v>1658</v>
      </c>
      <c r="AH1796" s="156" t="s">
        <v>1797</v>
      </c>
      <c r="AI1796" s="43" t="s">
        <v>1256</v>
      </c>
      <c r="AJ1796" s="43" t="s">
        <v>1256</v>
      </c>
      <c r="AK1796" s="43" t="s">
        <v>212</v>
      </c>
      <c r="AL1796" s="43" t="s">
        <v>572</v>
      </c>
      <c r="AM1796" s="43" t="s">
        <v>188</v>
      </c>
      <c r="AN1796" s="43" t="s">
        <v>587</v>
      </c>
      <c r="AO1796" s="43" t="s">
        <v>1660</v>
      </c>
      <c r="AP1796" s="43" t="s">
        <v>1660</v>
      </c>
      <c r="AQ1796" s="43" t="s">
        <v>212</v>
      </c>
      <c r="AR1796" s="43" t="s">
        <v>192</v>
      </c>
      <c r="AS1796" s="43">
        <v>3</v>
      </c>
      <c r="AT1796" s="43">
        <v>3</v>
      </c>
      <c r="AU1796" s="43" t="s">
        <v>379</v>
      </c>
      <c r="BD1796" s="43">
        <f>25.14*1000</f>
        <v>25140</v>
      </c>
      <c r="BE1796" s="43">
        <f>23.32*1000</f>
        <v>23320</v>
      </c>
      <c r="BM1796" s="43">
        <v>103.8</v>
      </c>
      <c r="BN1796" s="43">
        <v>100</v>
      </c>
      <c r="BO1796" s="43" t="s">
        <v>1659</v>
      </c>
      <c r="EP1796" s="43">
        <v>91.8</v>
      </c>
      <c r="EQ1796" s="43">
        <v>90.6</v>
      </c>
      <c r="ER1796" s="43" t="s">
        <v>1656</v>
      </c>
      <c r="FP1796" s="43">
        <v>99999</v>
      </c>
      <c r="FR1796" s="43" t="s">
        <v>1657</v>
      </c>
    </row>
    <row r="1797" spans="1:174" s="35" customFormat="1" x14ac:dyDescent="0.25">
      <c r="A1797" s="35">
        <v>86</v>
      </c>
      <c r="B1797" s="35" t="s">
        <v>1201</v>
      </c>
      <c r="C1797" s="35" t="s">
        <v>1202</v>
      </c>
      <c r="D1797" s="35">
        <v>2006</v>
      </c>
      <c r="E1797" s="35">
        <v>2002</v>
      </c>
      <c r="F1797" s="35" t="s">
        <v>371</v>
      </c>
      <c r="G1797" s="35" t="s">
        <v>1661</v>
      </c>
      <c r="H1797" s="35">
        <v>40.07</v>
      </c>
      <c r="I1797" s="35">
        <v>-82.85</v>
      </c>
      <c r="J1797" s="35">
        <v>223</v>
      </c>
      <c r="P1797" s="54">
        <v>1</v>
      </c>
      <c r="Q1797" s="54"/>
      <c r="R1797" s="54"/>
      <c r="S1797" s="54" t="s">
        <v>1570</v>
      </c>
      <c r="T1797" s="54" t="s">
        <v>1570</v>
      </c>
      <c r="U1797" s="54" t="s">
        <v>1565</v>
      </c>
      <c r="V1797" s="54" t="s">
        <v>1910</v>
      </c>
      <c r="W1797" s="35">
        <f t="shared" ref="W1797:W1820" si="263">(1.32+1.4+1.45+1.45)/4</f>
        <v>1.405</v>
      </c>
      <c r="X1797" s="35">
        <v>27.3</v>
      </c>
      <c r="Y1797" s="35">
        <v>58.7</v>
      </c>
      <c r="Z1797" s="35" t="s">
        <v>531</v>
      </c>
      <c r="AD1797" s="35" t="s">
        <v>1662</v>
      </c>
      <c r="AE1797" s="35" t="s">
        <v>159</v>
      </c>
      <c r="AF1797" s="152" t="s">
        <v>159</v>
      </c>
      <c r="AG1797" s="35" t="s">
        <v>1774</v>
      </c>
      <c r="AH1797" s="154" t="s">
        <v>1791</v>
      </c>
      <c r="AI1797" s="35" t="s">
        <v>1663</v>
      </c>
      <c r="AJ1797" s="35" t="s">
        <v>1664</v>
      </c>
      <c r="AK1797" s="35" t="s">
        <v>587</v>
      </c>
      <c r="AS1797" s="35">
        <v>4</v>
      </c>
      <c r="AT1797" s="35">
        <v>4</v>
      </c>
      <c r="AU1797" s="35" t="s">
        <v>169</v>
      </c>
      <c r="BG1797" s="35">
        <v>1.32</v>
      </c>
      <c r="BH1797" s="35">
        <v>1.24</v>
      </c>
      <c r="BJ1797" s="35">
        <v>4.2</v>
      </c>
      <c r="BK1797" s="35">
        <v>4.4000000000000004</v>
      </c>
      <c r="BL1797" s="35" t="s">
        <v>1157</v>
      </c>
      <c r="BM1797" s="35">
        <f>10^1</f>
        <v>10</v>
      </c>
      <c r="BN1797" s="35">
        <f>10^1</f>
        <v>10</v>
      </c>
      <c r="BO1797" s="35" t="s">
        <v>1160</v>
      </c>
      <c r="BQ1797" s="35">
        <v>5.9</v>
      </c>
      <c r="BR1797" s="35">
        <v>5.3</v>
      </c>
      <c r="CH1797" s="35">
        <v>38</v>
      </c>
      <c r="CI1797" s="35">
        <v>41</v>
      </c>
      <c r="CK1797" s="35">
        <v>39</v>
      </c>
      <c r="CL1797" s="35">
        <v>41</v>
      </c>
      <c r="CM1797" s="35" t="s">
        <v>1169</v>
      </c>
      <c r="CN1797" s="35">
        <v>3.1</v>
      </c>
      <c r="CO1797" s="35">
        <v>3</v>
      </c>
      <c r="DI1797" s="35">
        <v>35.200000000000003</v>
      </c>
      <c r="DJ1797" s="35">
        <v>36.4</v>
      </c>
      <c r="DK1797" s="35" t="s">
        <v>1670</v>
      </c>
      <c r="DL1797" s="35">
        <v>24.3</v>
      </c>
      <c r="DM1797" s="35">
        <v>25.3</v>
      </c>
      <c r="DN1797" s="35" t="s">
        <v>1669</v>
      </c>
      <c r="FR1797" s="35" t="s">
        <v>1667</v>
      </c>
    </row>
    <row r="1798" spans="1:174" s="35" customFormat="1" x14ac:dyDescent="0.25">
      <c r="A1798" s="35">
        <v>86</v>
      </c>
      <c r="B1798" s="35" t="s">
        <v>1201</v>
      </c>
      <c r="C1798" s="35" t="s">
        <v>1202</v>
      </c>
      <c r="D1798" s="35">
        <v>2006</v>
      </c>
      <c r="E1798" s="35">
        <v>2002</v>
      </c>
      <c r="F1798" s="35" t="s">
        <v>371</v>
      </c>
      <c r="G1798" s="35" t="s">
        <v>1661</v>
      </c>
      <c r="H1798" s="35">
        <v>40.07</v>
      </c>
      <c r="I1798" s="35">
        <v>-82.85</v>
      </c>
      <c r="J1798" s="35">
        <v>223</v>
      </c>
      <c r="P1798" s="54">
        <v>1</v>
      </c>
      <c r="Q1798" s="54"/>
      <c r="R1798" s="54"/>
      <c r="S1798" s="54" t="s">
        <v>1570</v>
      </c>
      <c r="T1798" s="54" t="s">
        <v>1570</v>
      </c>
      <c r="U1798" s="54" t="s">
        <v>1565</v>
      </c>
      <c r="V1798" s="54" t="s">
        <v>1910</v>
      </c>
      <c r="W1798" s="35">
        <f t="shared" si="263"/>
        <v>1.405</v>
      </c>
      <c r="X1798" s="35">
        <v>27.3</v>
      </c>
      <c r="Y1798" s="35">
        <v>58.7</v>
      </c>
      <c r="Z1798" s="35" t="s">
        <v>531</v>
      </c>
      <c r="AD1798" s="35" t="s">
        <v>1662</v>
      </c>
      <c r="AE1798" s="35" t="s">
        <v>1698</v>
      </c>
      <c r="AF1798" s="152" t="s">
        <v>1762</v>
      </c>
      <c r="AG1798" s="35" t="s">
        <v>1774</v>
      </c>
      <c r="AH1798" s="154" t="s">
        <v>1791</v>
      </c>
      <c r="AI1798" s="35" t="s">
        <v>1663</v>
      </c>
      <c r="AJ1798" s="35" t="s">
        <v>1665</v>
      </c>
      <c r="AK1798" s="35" t="s">
        <v>587</v>
      </c>
      <c r="AS1798" s="35">
        <v>4</v>
      </c>
      <c r="AT1798" s="35">
        <v>4</v>
      </c>
      <c r="AU1798" s="35" t="s">
        <v>169</v>
      </c>
      <c r="BG1798" s="35">
        <v>1.32</v>
      </c>
      <c r="BH1798" s="35">
        <v>1.23</v>
      </c>
      <c r="BJ1798" s="35">
        <v>4.2</v>
      </c>
      <c r="BK1798" s="35">
        <v>4.5</v>
      </c>
      <c r="BL1798" s="35" t="s">
        <v>1157</v>
      </c>
      <c r="BM1798" s="35">
        <f t="shared" ref="BM1798:BN1799" si="264">10^1</f>
        <v>10</v>
      </c>
      <c r="BN1798" s="35">
        <f t="shared" si="264"/>
        <v>10</v>
      </c>
      <c r="BO1798" s="35" t="s">
        <v>1160</v>
      </c>
      <c r="CN1798" s="35">
        <v>3.1</v>
      </c>
      <c r="CO1798" s="35">
        <v>3</v>
      </c>
      <c r="FR1798" s="35" t="s">
        <v>1667</v>
      </c>
    </row>
    <row r="1799" spans="1:174" s="35" customFormat="1" x14ac:dyDescent="0.25">
      <c r="A1799" s="35">
        <v>86</v>
      </c>
      <c r="B1799" s="35" t="s">
        <v>1201</v>
      </c>
      <c r="C1799" s="35" t="s">
        <v>1202</v>
      </c>
      <c r="D1799" s="35">
        <v>2006</v>
      </c>
      <c r="E1799" s="35">
        <v>2002</v>
      </c>
      <c r="F1799" s="35" t="s">
        <v>371</v>
      </c>
      <c r="G1799" s="35" t="s">
        <v>1661</v>
      </c>
      <c r="H1799" s="35">
        <v>40.07</v>
      </c>
      <c r="I1799" s="35">
        <v>-82.85</v>
      </c>
      <c r="J1799" s="35">
        <v>223</v>
      </c>
      <c r="P1799" s="54">
        <v>1</v>
      </c>
      <c r="Q1799" s="54"/>
      <c r="R1799" s="54"/>
      <c r="S1799" s="54" t="s">
        <v>1570</v>
      </c>
      <c r="T1799" s="54" t="s">
        <v>1570</v>
      </c>
      <c r="U1799" s="54" t="s">
        <v>1565</v>
      </c>
      <c r="V1799" s="54" t="s">
        <v>1910</v>
      </c>
      <c r="W1799" s="35">
        <f t="shared" si="263"/>
        <v>1.405</v>
      </c>
      <c r="X1799" s="35">
        <v>27.3</v>
      </c>
      <c r="Y1799" s="35">
        <v>58.7</v>
      </c>
      <c r="Z1799" s="35" t="s">
        <v>531</v>
      </c>
      <c r="AD1799" s="35" t="s">
        <v>1662</v>
      </c>
      <c r="AE1799" s="35" t="s">
        <v>1759</v>
      </c>
      <c r="AF1799" s="152" t="s">
        <v>727</v>
      </c>
      <c r="AG1799" s="35" t="s">
        <v>1774</v>
      </c>
      <c r="AH1799" s="154" t="s">
        <v>1791</v>
      </c>
      <c r="AI1799" s="35" t="s">
        <v>1663</v>
      </c>
      <c r="AJ1799" s="35" t="s">
        <v>1666</v>
      </c>
      <c r="AK1799" s="35" t="s">
        <v>587</v>
      </c>
      <c r="AS1799" s="35">
        <v>4</v>
      </c>
      <c r="AT1799" s="35">
        <v>4</v>
      </c>
      <c r="AU1799" s="35" t="s">
        <v>169</v>
      </c>
      <c r="BG1799" s="35">
        <v>1.32</v>
      </c>
      <c r="BH1799" s="35">
        <v>1.23</v>
      </c>
      <c r="BJ1799" s="35">
        <v>4.2</v>
      </c>
      <c r="BK1799" s="35">
        <v>4.7</v>
      </c>
      <c r="BL1799" s="35" t="s">
        <v>1157</v>
      </c>
      <c r="BM1799" s="35">
        <f t="shared" si="264"/>
        <v>10</v>
      </c>
      <c r="BN1799" s="35">
        <f>10^0.9</f>
        <v>7.9432823472428176</v>
      </c>
      <c r="BO1799" s="35" t="s">
        <v>1160</v>
      </c>
      <c r="CN1799" s="35">
        <v>3.1</v>
      </c>
      <c r="CO1799" s="35">
        <v>3.1</v>
      </c>
      <c r="FR1799" s="35" t="s">
        <v>1667</v>
      </c>
    </row>
    <row r="1800" spans="1:174" s="35" customFormat="1" x14ac:dyDescent="0.25">
      <c r="A1800" s="35">
        <v>86</v>
      </c>
      <c r="B1800" s="35" t="s">
        <v>1201</v>
      </c>
      <c r="C1800" s="35" t="s">
        <v>1202</v>
      </c>
      <c r="D1800" s="35">
        <v>2006</v>
      </c>
      <c r="E1800" s="35">
        <v>2002</v>
      </c>
      <c r="F1800" s="35" t="s">
        <v>371</v>
      </c>
      <c r="G1800" s="35" t="s">
        <v>1661</v>
      </c>
      <c r="H1800" s="35">
        <v>40.07</v>
      </c>
      <c r="I1800" s="35">
        <v>-82.85</v>
      </c>
      <c r="J1800" s="35">
        <v>223</v>
      </c>
      <c r="P1800" s="54">
        <v>1</v>
      </c>
      <c r="Q1800" s="54"/>
      <c r="R1800" s="54"/>
      <c r="S1800" s="54" t="s">
        <v>1577</v>
      </c>
      <c r="T1800" s="54" t="s">
        <v>1570</v>
      </c>
      <c r="U1800" s="54" t="s">
        <v>1565</v>
      </c>
      <c r="V1800" s="54" t="s">
        <v>1910</v>
      </c>
      <c r="W1800" s="35">
        <f t="shared" si="263"/>
        <v>1.405</v>
      </c>
      <c r="X1800" s="35">
        <v>27.3</v>
      </c>
      <c r="Y1800" s="35">
        <v>58.7</v>
      </c>
      <c r="Z1800" s="35" t="s">
        <v>531</v>
      </c>
      <c r="AD1800" s="35" t="s">
        <v>1662</v>
      </c>
      <c r="AE1800" s="35" t="s">
        <v>159</v>
      </c>
      <c r="AF1800" s="152" t="s">
        <v>159</v>
      </c>
      <c r="AG1800" s="35" t="s">
        <v>1774</v>
      </c>
      <c r="AH1800" s="154" t="s">
        <v>1791</v>
      </c>
      <c r="AI1800" s="35" t="s">
        <v>1663</v>
      </c>
      <c r="AJ1800" s="35" t="s">
        <v>1664</v>
      </c>
      <c r="AK1800" s="35" t="s">
        <v>587</v>
      </c>
      <c r="AS1800" s="35">
        <v>4</v>
      </c>
      <c r="AT1800" s="35">
        <v>4</v>
      </c>
      <c r="AU1800" s="35" t="s">
        <v>169</v>
      </c>
      <c r="BG1800" s="35">
        <v>1.4</v>
      </c>
      <c r="BH1800" s="35">
        <v>1.38</v>
      </c>
      <c r="BJ1800" s="35">
        <v>3.3</v>
      </c>
      <c r="BK1800" s="35">
        <v>3.5</v>
      </c>
      <c r="BL1800" s="35" t="s">
        <v>1157</v>
      </c>
      <c r="BM1800" s="35">
        <f>10^1.1</f>
        <v>12.58925411794168</v>
      </c>
      <c r="BN1800" s="35">
        <f>10^1</f>
        <v>10</v>
      </c>
      <c r="BO1800" s="35" t="s">
        <v>1160</v>
      </c>
      <c r="BQ1800" s="35">
        <v>5.9</v>
      </c>
      <c r="BR1800" s="35">
        <v>5.8</v>
      </c>
      <c r="CH1800" s="35">
        <v>38</v>
      </c>
      <c r="CI1800" s="35">
        <v>43</v>
      </c>
      <c r="CK1800" s="35">
        <v>39</v>
      </c>
      <c r="CL1800" s="35">
        <v>40.299999999999997</v>
      </c>
      <c r="CM1800" s="35" t="s">
        <v>1169</v>
      </c>
      <c r="CN1800" s="35">
        <v>3.3</v>
      </c>
      <c r="CO1800" s="35">
        <v>3.2</v>
      </c>
      <c r="DI1800" s="35">
        <v>35.200000000000003</v>
      </c>
      <c r="DJ1800" s="35">
        <v>36.4</v>
      </c>
      <c r="DK1800" s="35" t="s">
        <v>1670</v>
      </c>
      <c r="DL1800" s="35">
        <v>24.3</v>
      </c>
      <c r="DM1800" s="35">
        <v>25.6</v>
      </c>
      <c r="DN1800" s="35" t="s">
        <v>1669</v>
      </c>
      <c r="FR1800" s="35" t="s">
        <v>1667</v>
      </c>
    </row>
    <row r="1801" spans="1:174" s="35" customFormat="1" x14ac:dyDescent="0.25">
      <c r="A1801" s="35">
        <v>86</v>
      </c>
      <c r="B1801" s="35" t="s">
        <v>1201</v>
      </c>
      <c r="C1801" s="35" t="s">
        <v>1202</v>
      </c>
      <c r="D1801" s="35">
        <v>2006</v>
      </c>
      <c r="E1801" s="35">
        <v>2002</v>
      </c>
      <c r="F1801" s="35" t="s">
        <v>371</v>
      </c>
      <c r="G1801" s="35" t="s">
        <v>1661</v>
      </c>
      <c r="H1801" s="35">
        <v>40.07</v>
      </c>
      <c r="I1801" s="35">
        <v>-82.85</v>
      </c>
      <c r="J1801" s="35">
        <v>223</v>
      </c>
      <c r="P1801" s="54">
        <v>1</v>
      </c>
      <c r="Q1801" s="54"/>
      <c r="R1801" s="54"/>
      <c r="S1801" s="54" t="s">
        <v>1577</v>
      </c>
      <c r="T1801" s="54" t="s">
        <v>1570</v>
      </c>
      <c r="U1801" s="54" t="s">
        <v>1565</v>
      </c>
      <c r="V1801" s="54" t="s">
        <v>1910</v>
      </c>
      <c r="W1801" s="35">
        <f t="shared" si="263"/>
        <v>1.405</v>
      </c>
      <c r="X1801" s="35">
        <v>27.3</v>
      </c>
      <c r="Y1801" s="35">
        <v>58.7</v>
      </c>
      <c r="Z1801" s="35" t="s">
        <v>531</v>
      </c>
      <c r="AD1801" s="35" t="s">
        <v>1662</v>
      </c>
      <c r="AE1801" s="35" t="s">
        <v>1698</v>
      </c>
      <c r="AF1801" s="152" t="s">
        <v>1762</v>
      </c>
      <c r="AG1801" s="35" t="s">
        <v>1774</v>
      </c>
      <c r="AH1801" s="154" t="s">
        <v>1791</v>
      </c>
      <c r="AI1801" s="35" t="s">
        <v>1663</v>
      </c>
      <c r="AJ1801" s="35" t="s">
        <v>1665</v>
      </c>
      <c r="AK1801" s="35" t="s">
        <v>587</v>
      </c>
      <c r="AS1801" s="35">
        <v>4</v>
      </c>
      <c r="AT1801" s="35">
        <v>4</v>
      </c>
      <c r="AU1801" s="35" t="s">
        <v>169</v>
      </c>
      <c r="BG1801" s="35">
        <v>1.4</v>
      </c>
      <c r="BH1801" s="35">
        <v>1.35</v>
      </c>
      <c r="BJ1801" s="35">
        <v>3.3</v>
      </c>
      <c r="BK1801" s="35">
        <v>3.6</v>
      </c>
      <c r="BL1801" s="35" t="s">
        <v>1157</v>
      </c>
      <c r="BM1801" s="35">
        <f t="shared" ref="BM1801:BM1805" si="265">10^1.1</f>
        <v>12.58925411794168</v>
      </c>
      <c r="BN1801" s="35">
        <f>10^0.6</f>
        <v>3.9810717055349727</v>
      </c>
      <c r="BO1801" s="35" t="s">
        <v>1160</v>
      </c>
      <c r="CN1801" s="35">
        <v>3.3</v>
      </c>
      <c r="CO1801" s="35">
        <v>3.2</v>
      </c>
      <c r="FR1801" s="35" t="s">
        <v>1667</v>
      </c>
    </row>
    <row r="1802" spans="1:174" s="35" customFormat="1" x14ac:dyDescent="0.25">
      <c r="A1802" s="35">
        <v>86</v>
      </c>
      <c r="B1802" s="35" t="s">
        <v>1201</v>
      </c>
      <c r="C1802" s="35" t="s">
        <v>1202</v>
      </c>
      <c r="D1802" s="35">
        <v>2006</v>
      </c>
      <c r="E1802" s="35">
        <v>2002</v>
      </c>
      <c r="F1802" s="35" t="s">
        <v>371</v>
      </c>
      <c r="G1802" s="35" t="s">
        <v>1661</v>
      </c>
      <c r="H1802" s="35">
        <v>40.07</v>
      </c>
      <c r="I1802" s="35">
        <v>-82.85</v>
      </c>
      <c r="J1802" s="35">
        <v>223</v>
      </c>
      <c r="P1802" s="54">
        <v>1</v>
      </c>
      <c r="Q1802" s="54"/>
      <c r="R1802" s="54"/>
      <c r="S1802" s="54" t="s">
        <v>1577</v>
      </c>
      <c r="T1802" s="54" t="s">
        <v>1570</v>
      </c>
      <c r="U1802" s="54" t="s">
        <v>1565</v>
      </c>
      <c r="V1802" s="54" t="s">
        <v>1910</v>
      </c>
      <c r="W1802" s="35">
        <f t="shared" si="263"/>
        <v>1.405</v>
      </c>
      <c r="X1802" s="35">
        <v>27.3</v>
      </c>
      <c r="Y1802" s="35">
        <v>58.7</v>
      </c>
      <c r="Z1802" s="35" t="s">
        <v>531</v>
      </c>
      <c r="AD1802" s="35" t="s">
        <v>1662</v>
      </c>
      <c r="AE1802" s="35" t="s">
        <v>1759</v>
      </c>
      <c r="AF1802" s="152" t="s">
        <v>727</v>
      </c>
      <c r="AG1802" s="35" t="s">
        <v>1774</v>
      </c>
      <c r="AH1802" s="154" t="s">
        <v>1791</v>
      </c>
      <c r="AI1802" s="35" t="s">
        <v>1663</v>
      </c>
      <c r="AJ1802" s="35" t="s">
        <v>1666</v>
      </c>
      <c r="AK1802" s="35" t="s">
        <v>587</v>
      </c>
      <c r="AS1802" s="35">
        <v>4</v>
      </c>
      <c r="AT1802" s="35">
        <v>4</v>
      </c>
      <c r="AU1802" s="35" t="s">
        <v>169</v>
      </c>
      <c r="BG1802" s="35">
        <v>1.4</v>
      </c>
      <c r="BH1802" s="35">
        <v>1.36</v>
      </c>
      <c r="BJ1802" s="35">
        <v>3.3</v>
      </c>
      <c r="BK1802" s="35">
        <v>3.8</v>
      </c>
      <c r="BL1802" s="35" t="s">
        <v>1157</v>
      </c>
      <c r="BM1802" s="35">
        <f t="shared" si="265"/>
        <v>12.58925411794168</v>
      </c>
      <c r="BN1802" s="35">
        <f>10^0.9</f>
        <v>7.9432823472428176</v>
      </c>
      <c r="BO1802" s="35" t="s">
        <v>1160</v>
      </c>
      <c r="CN1802" s="35">
        <v>3.3</v>
      </c>
      <c r="CO1802" s="35">
        <v>3.2</v>
      </c>
      <c r="FR1802" s="35" t="s">
        <v>1667</v>
      </c>
    </row>
    <row r="1803" spans="1:174" s="35" customFormat="1" x14ac:dyDescent="0.25">
      <c r="A1803" s="35">
        <v>86</v>
      </c>
      <c r="B1803" s="35" t="s">
        <v>1201</v>
      </c>
      <c r="C1803" s="35" t="s">
        <v>1202</v>
      </c>
      <c r="D1803" s="35">
        <v>2006</v>
      </c>
      <c r="E1803" s="35">
        <v>2002</v>
      </c>
      <c r="F1803" s="35" t="s">
        <v>371</v>
      </c>
      <c r="G1803" s="35" t="s">
        <v>1661</v>
      </c>
      <c r="H1803" s="35">
        <v>40.07</v>
      </c>
      <c r="I1803" s="35">
        <v>-82.85</v>
      </c>
      <c r="J1803" s="35">
        <v>223</v>
      </c>
      <c r="P1803" s="54">
        <v>1</v>
      </c>
      <c r="Q1803" s="54"/>
      <c r="R1803" s="54"/>
      <c r="S1803" s="54" t="s">
        <v>1585</v>
      </c>
      <c r="T1803" s="54" t="s">
        <v>1570</v>
      </c>
      <c r="U1803" s="54" t="s">
        <v>1565</v>
      </c>
      <c r="V1803" s="54" t="s">
        <v>1910</v>
      </c>
      <c r="W1803" s="35">
        <f t="shared" si="263"/>
        <v>1.405</v>
      </c>
      <c r="X1803" s="35">
        <v>27.3</v>
      </c>
      <c r="Y1803" s="35">
        <v>58.7</v>
      </c>
      <c r="Z1803" s="35" t="s">
        <v>531</v>
      </c>
      <c r="AD1803" s="35" t="s">
        <v>1662</v>
      </c>
      <c r="AE1803" s="35" t="s">
        <v>159</v>
      </c>
      <c r="AF1803" s="152" t="s">
        <v>159</v>
      </c>
      <c r="AG1803" s="35" t="s">
        <v>1774</v>
      </c>
      <c r="AH1803" s="154" t="s">
        <v>1791</v>
      </c>
      <c r="AI1803" s="35" t="s">
        <v>1663</v>
      </c>
      <c r="AJ1803" s="35" t="s">
        <v>1664</v>
      </c>
      <c r="AK1803" s="35" t="s">
        <v>587</v>
      </c>
      <c r="AS1803" s="35">
        <v>4</v>
      </c>
      <c r="AT1803" s="35">
        <v>4</v>
      </c>
      <c r="AU1803" s="35" t="s">
        <v>169</v>
      </c>
      <c r="BG1803" s="35">
        <v>1.45</v>
      </c>
      <c r="BH1803" s="35">
        <v>1.46</v>
      </c>
      <c r="BJ1803" s="35">
        <v>3.1</v>
      </c>
      <c r="BK1803" s="35">
        <v>3.3</v>
      </c>
      <c r="BL1803" s="35" t="s">
        <v>1157</v>
      </c>
      <c r="BM1803" s="35">
        <f t="shared" si="265"/>
        <v>12.58925411794168</v>
      </c>
      <c r="BN1803" s="35">
        <f>10^0.8</f>
        <v>6.3095734448019343</v>
      </c>
      <c r="BO1803" s="35" t="s">
        <v>1160</v>
      </c>
      <c r="BQ1803" s="35">
        <v>5.9</v>
      </c>
      <c r="BR1803" s="35">
        <v>5.5</v>
      </c>
      <c r="CH1803" s="35">
        <v>38</v>
      </c>
      <c r="CI1803" s="35">
        <v>44</v>
      </c>
      <c r="CK1803" s="35">
        <v>39</v>
      </c>
      <c r="CL1803" s="35">
        <v>41.3</v>
      </c>
      <c r="CM1803" s="35" t="s">
        <v>1169</v>
      </c>
      <c r="CN1803" s="35">
        <v>3.2</v>
      </c>
      <c r="CO1803" s="35">
        <v>3.2</v>
      </c>
      <c r="DI1803" s="35">
        <v>35.200000000000003</v>
      </c>
      <c r="DJ1803" s="35">
        <v>37.299999999999997</v>
      </c>
      <c r="DK1803" s="35" t="s">
        <v>1670</v>
      </c>
      <c r="DL1803" s="35">
        <v>24.3</v>
      </c>
      <c r="DM1803" s="35">
        <v>26.4</v>
      </c>
      <c r="DN1803" s="35" t="s">
        <v>1669</v>
      </c>
      <c r="FR1803" s="35" t="s">
        <v>1667</v>
      </c>
    </row>
    <row r="1804" spans="1:174" s="35" customFormat="1" x14ac:dyDescent="0.25">
      <c r="A1804" s="35">
        <v>86</v>
      </c>
      <c r="B1804" s="35" t="s">
        <v>1201</v>
      </c>
      <c r="C1804" s="35" t="s">
        <v>1202</v>
      </c>
      <c r="D1804" s="35">
        <v>2006</v>
      </c>
      <c r="E1804" s="35">
        <v>2002</v>
      </c>
      <c r="F1804" s="35" t="s">
        <v>371</v>
      </c>
      <c r="G1804" s="35" t="s">
        <v>1661</v>
      </c>
      <c r="H1804" s="35">
        <v>40.07</v>
      </c>
      <c r="I1804" s="35">
        <v>-82.85</v>
      </c>
      <c r="J1804" s="35">
        <v>223</v>
      </c>
      <c r="P1804" s="54">
        <v>1</v>
      </c>
      <c r="Q1804" s="54"/>
      <c r="R1804" s="54"/>
      <c r="S1804" s="54" t="s">
        <v>1585</v>
      </c>
      <c r="T1804" s="54" t="s">
        <v>1570</v>
      </c>
      <c r="U1804" s="54" t="s">
        <v>1565</v>
      </c>
      <c r="V1804" s="54" t="s">
        <v>1910</v>
      </c>
      <c r="W1804" s="35">
        <f t="shared" si="263"/>
        <v>1.405</v>
      </c>
      <c r="X1804" s="35">
        <v>27.3</v>
      </c>
      <c r="Y1804" s="35">
        <v>58.7</v>
      </c>
      <c r="Z1804" s="35" t="s">
        <v>531</v>
      </c>
      <c r="AD1804" s="35" t="s">
        <v>1662</v>
      </c>
      <c r="AE1804" s="35" t="s">
        <v>1698</v>
      </c>
      <c r="AF1804" s="152" t="s">
        <v>1762</v>
      </c>
      <c r="AG1804" s="35" t="s">
        <v>1774</v>
      </c>
      <c r="AH1804" s="154" t="s">
        <v>1791</v>
      </c>
      <c r="AI1804" s="35" t="s">
        <v>1663</v>
      </c>
      <c r="AJ1804" s="35" t="s">
        <v>1665</v>
      </c>
      <c r="AK1804" s="35" t="s">
        <v>587</v>
      </c>
      <c r="AS1804" s="35">
        <v>4</v>
      </c>
      <c r="AT1804" s="35">
        <v>4</v>
      </c>
      <c r="AU1804" s="35" t="s">
        <v>169</v>
      </c>
      <c r="BG1804" s="35">
        <v>1.45</v>
      </c>
      <c r="BH1804" s="35">
        <v>1.5</v>
      </c>
      <c r="BJ1804" s="35">
        <v>3.1</v>
      </c>
      <c r="BK1804" s="35">
        <v>3.4</v>
      </c>
      <c r="BL1804" s="35" t="s">
        <v>1157</v>
      </c>
      <c r="BM1804" s="35">
        <f t="shared" si="265"/>
        <v>12.58925411794168</v>
      </c>
      <c r="BN1804" s="35">
        <f>10^0.3</f>
        <v>1.9952623149688797</v>
      </c>
      <c r="BO1804" s="35" t="s">
        <v>1160</v>
      </c>
      <c r="CN1804" s="35">
        <v>3.2</v>
      </c>
      <c r="CO1804" s="35">
        <v>3.3</v>
      </c>
      <c r="FR1804" s="35" t="s">
        <v>1667</v>
      </c>
    </row>
    <row r="1805" spans="1:174" s="35" customFormat="1" x14ac:dyDescent="0.25">
      <c r="A1805" s="35">
        <v>86</v>
      </c>
      <c r="B1805" s="35" t="s">
        <v>1201</v>
      </c>
      <c r="C1805" s="35" t="s">
        <v>1202</v>
      </c>
      <c r="D1805" s="35">
        <v>2006</v>
      </c>
      <c r="E1805" s="35">
        <v>2002</v>
      </c>
      <c r="F1805" s="35" t="s">
        <v>371</v>
      </c>
      <c r="G1805" s="35" t="s">
        <v>1661</v>
      </c>
      <c r="H1805" s="35">
        <v>40.07</v>
      </c>
      <c r="I1805" s="35">
        <v>-82.85</v>
      </c>
      <c r="J1805" s="35">
        <v>223</v>
      </c>
      <c r="P1805" s="54">
        <v>1</v>
      </c>
      <c r="Q1805" s="54"/>
      <c r="R1805" s="54"/>
      <c r="S1805" s="54" t="s">
        <v>1585</v>
      </c>
      <c r="T1805" s="54" t="s">
        <v>1570</v>
      </c>
      <c r="U1805" s="54" t="s">
        <v>1565</v>
      </c>
      <c r="V1805" s="54" t="s">
        <v>1910</v>
      </c>
      <c r="W1805" s="35">
        <f t="shared" si="263"/>
        <v>1.405</v>
      </c>
      <c r="X1805" s="35">
        <v>27.3</v>
      </c>
      <c r="Y1805" s="35">
        <v>58.7</v>
      </c>
      <c r="Z1805" s="35" t="s">
        <v>531</v>
      </c>
      <c r="AD1805" s="35" t="s">
        <v>1662</v>
      </c>
      <c r="AE1805" s="35" t="s">
        <v>1759</v>
      </c>
      <c r="AF1805" s="152" t="s">
        <v>727</v>
      </c>
      <c r="AG1805" s="35" t="s">
        <v>1774</v>
      </c>
      <c r="AH1805" s="154" t="s">
        <v>1791</v>
      </c>
      <c r="AI1805" s="35" t="s">
        <v>1663</v>
      </c>
      <c r="AJ1805" s="35" t="s">
        <v>1666</v>
      </c>
      <c r="AK1805" s="35" t="s">
        <v>587</v>
      </c>
      <c r="AS1805" s="35">
        <v>4</v>
      </c>
      <c r="AT1805" s="35">
        <v>4</v>
      </c>
      <c r="AU1805" s="35" t="s">
        <v>169</v>
      </c>
      <c r="BG1805" s="35">
        <v>1.45</v>
      </c>
      <c r="BH1805" s="35">
        <v>1.43</v>
      </c>
      <c r="BJ1805" s="35">
        <v>3.1</v>
      </c>
      <c r="BK1805" s="35">
        <v>3.6</v>
      </c>
      <c r="BL1805" s="35" t="s">
        <v>1157</v>
      </c>
      <c r="BM1805" s="35">
        <f t="shared" si="265"/>
        <v>12.58925411794168</v>
      </c>
      <c r="BN1805" s="35">
        <f>10^0.8</f>
        <v>6.3095734448019343</v>
      </c>
      <c r="BO1805" s="35" t="s">
        <v>1160</v>
      </c>
      <c r="CN1805" s="35">
        <v>3.2</v>
      </c>
      <c r="CO1805" s="35">
        <v>3.3</v>
      </c>
      <c r="FR1805" s="35" t="s">
        <v>1667</v>
      </c>
    </row>
    <row r="1806" spans="1:174" s="35" customFormat="1" x14ac:dyDescent="0.25">
      <c r="A1806" s="35">
        <v>86</v>
      </c>
      <c r="B1806" s="35" t="s">
        <v>1201</v>
      </c>
      <c r="C1806" s="35" t="s">
        <v>1202</v>
      </c>
      <c r="D1806" s="35">
        <v>2006</v>
      </c>
      <c r="E1806" s="35">
        <v>2002</v>
      </c>
      <c r="F1806" s="35" t="s">
        <v>371</v>
      </c>
      <c r="G1806" s="35" t="s">
        <v>1661</v>
      </c>
      <c r="H1806" s="35">
        <v>40.07</v>
      </c>
      <c r="I1806" s="35">
        <v>-82.85</v>
      </c>
      <c r="J1806" s="35">
        <v>223</v>
      </c>
      <c r="P1806" s="54">
        <v>1</v>
      </c>
      <c r="Q1806" s="54"/>
      <c r="R1806" s="54"/>
      <c r="S1806" s="54" t="s">
        <v>1566</v>
      </c>
      <c r="T1806" s="54" t="s">
        <v>1570</v>
      </c>
      <c r="U1806" s="54" t="s">
        <v>1565</v>
      </c>
      <c r="V1806" s="54" t="s">
        <v>1905</v>
      </c>
      <c r="W1806" s="35">
        <f t="shared" si="263"/>
        <v>1.405</v>
      </c>
      <c r="X1806" s="35">
        <v>27.3</v>
      </c>
      <c r="Y1806" s="35">
        <v>58.7</v>
      </c>
      <c r="Z1806" s="35" t="s">
        <v>531</v>
      </c>
      <c r="AD1806" s="35" t="s">
        <v>1662</v>
      </c>
      <c r="AE1806" s="35" t="s">
        <v>159</v>
      </c>
      <c r="AF1806" s="152" t="s">
        <v>159</v>
      </c>
      <c r="AG1806" s="35" t="s">
        <v>1774</v>
      </c>
      <c r="AH1806" s="154" t="s">
        <v>1791</v>
      </c>
      <c r="AI1806" s="35" t="s">
        <v>1663</v>
      </c>
      <c r="AJ1806" s="35" t="s">
        <v>1664</v>
      </c>
      <c r="AK1806" s="35" t="s">
        <v>587</v>
      </c>
      <c r="AS1806" s="35">
        <v>4</v>
      </c>
      <c r="AT1806" s="35">
        <v>4</v>
      </c>
      <c r="AU1806" s="35" t="s">
        <v>169</v>
      </c>
      <c r="BG1806" s="35">
        <v>1.45</v>
      </c>
      <c r="BH1806" s="35">
        <v>1.44</v>
      </c>
      <c r="BJ1806" s="35">
        <v>3.5</v>
      </c>
      <c r="BK1806" s="35">
        <v>3.6</v>
      </c>
      <c r="BL1806" s="35" t="s">
        <v>1157</v>
      </c>
      <c r="BM1806" s="35">
        <f>10^1</f>
        <v>10</v>
      </c>
      <c r="BN1806" s="35">
        <f>10^0.9</f>
        <v>7.9432823472428176</v>
      </c>
      <c r="BO1806" s="35" t="s">
        <v>1160</v>
      </c>
      <c r="CN1806" s="35">
        <v>3.2</v>
      </c>
      <c r="CO1806" s="35">
        <v>3.2</v>
      </c>
      <c r="FR1806" s="35" t="s">
        <v>1667</v>
      </c>
    </row>
    <row r="1807" spans="1:174" s="35" customFormat="1" x14ac:dyDescent="0.25">
      <c r="A1807" s="35">
        <v>86</v>
      </c>
      <c r="B1807" s="35" t="s">
        <v>1201</v>
      </c>
      <c r="C1807" s="35" t="s">
        <v>1202</v>
      </c>
      <c r="D1807" s="35">
        <v>2006</v>
      </c>
      <c r="E1807" s="35">
        <v>2002</v>
      </c>
      <c r="F1807" s="35" t="s">
        <v>371</v>
      </c>
      <c r="G1807" s="35" t="s">
        <v>1661</v>
      </c>
      <c r="H1807" s="35">
        <v>40.07</v>
      </c>
      <c r="I1807" s="35">
        <v>-82.85</v>
      </c>
      <c r="J1807" s="35">
        <v>223</v>
      </c>
      <c r="P1807" s="54">
        <v>1</v>
      </c>
      <c r="Q1807" s="54"/>
      <c r="R1807" s="54"/>
      <c r="S1807" s="54" t="s">
        <v>1566</v>
      </c>
      <c r="T1807" s="54" t="s">
        <v>1570</v>
      </c>
      <c r="U1807" s="54" t="s">
        <v>1565</v>
      </c>
      <c r="V1807" s="54" t="s">
        <v>1905</v>
      </c>
      <c r="W1807" s="35">
        <f t="shared" si="263"/>
        <v>1.405</v>
      </c>
      <c r="X1807" s="35">
        <v>27.3</v>
      </c>
      <c r="Y1807" s="35">
        <v>58.7</v>
      </c>
      <c r="Z1807" s="35" t="s">
        <v>531</v>
      </c>
      <c r="AD1807" s="35" t="s">
        <v>1662</v>
      </c>
      <c r="AE1807" s="35" t="s">
        <v>1698</v>
      </c>
      <c r="AF1807" s="152" t="s">
        <v>1762</v>
      </c>
      <c r="AG1807" s="35" t="s">
        <v>1774</v>
      </c>
      <c r="AH1807" s="154" t="s">
        <v>1791</v>
      </c>
      <c r="AI1807" s="35" t="s">
        <v>1663</v>
      </c>
      <c r="AJ1807" s="35" t="s">
        <v>1665</v>
      </c>
      <c r="AK1807" s="35" t="s">
        <v>587</v>
      </c>
      <c r="AS1807" s="35">
        <v>4</v>
      </c>
      <c r="AT1807" s="35">
        <v>4</v>
      </c>
      <c r="AU1807" s="35" t="s">
        <v>169</v>
      </c>
      <c r="BG1807" s="35">
        <v>1.45</v>
      </c>
      <c r="BH1807" s="35">
        <v>1.42</v>
      </c>
      <c r="BJ1807" s="35">
        <v>3.5</v>
      </c>
      <c r="BK1807" s="35">
        <v>3.7</v>
      </c>
      <c r="BL1807" s="35" t="s">
        <v>1157</v>
      </c>
      <c r="BM1807" s="35">
        <f t="shared" ref="BM1807:BM1808" si="266">10^1</f>
        <v>10</v>
      </c>
      <c r="BN1807" s="35">
        <f>10^0.7</f>
        <v>5.0118723362727229</v>
      </c>
      <c r="BO1807" s="35" t="s">
        <v>1160</v>
      </c>
      <c r="CN1807" s="35">
        <v>3.2</v>
      </c>
      <c r="CO1807" s="35">
        <v>3.2</v>
      </c>
      <c r="FR1807" s="35" t="s">
        <v>1667</v>
      </c>
    </row>
    <row r="1808" spans="1:174" s="35" customFormat="1" x14ac:dyDescent="0.25">
      <c r="A1808" s="35">
        <v>86</v>
      </c>
      <c r="B1808" s="35" t="s">
        <v>1201</v>
      </c>
      <c r="C1808" s="35" t="s">
        <v>1202</v>
      </c>
      <c r="D1808" s="35">
        <v>2006</v>
      </c>
      <c r="E1808" s="35">
        <v>2002</v>
      </c>
      <c r="F1808" s="35" t="s">
        <v>371</v>
      </c>
      <c r="G1808" s="35" t="s">
        <v>1661</v>
      </c>
      <c r="H1808" s="35">
        <v>40.07</v>
      </c>
      <c r="I1808" s="35">
        <v>-82.85</v>
      </c>
      <c r="J1808" s="35">
        <v>223</v>
      </c>
      <c r="P1808" s="54">
        <v>1</v>
      </c>
      <c r="Q1808" s="54"/>
      <c r="R1808" s="54"/>
      <c r="S1808" s="54" t="s">
        <v>1566</v>
      </c>
      <c r="T1808" s="54" t="s">
        <v>1570</v>
      </c>
      <c r="U1808" s="54" t="s">
        <v>1565</v>
      </c>
      <c r="V1808" s="54" t="s">
        <v>1905</v>
      </c>
      <c r="W1808" s="35">
        <f t="shared" si="263"/>
        <v>1.405</v>
      </c>
      <c r="X1808" s="35">
        <v>27.3</v>
      </c>
      <c r="Y1808" s="35">
        <v>58.7</v>
      </c>
      <c r="Z1808" s="35" t="s">
        <v>531</v>
      </c>
      <c r="AD1808" s="35" t="s">
        <v>1662</v>
      </c>
      <c r="AE1808" s="35" t="s">
        <v>1759</v>
      </c>
      <c r="AF1808" s="152" t="s">
        <v>727</v>
      </c>
      <c r="AG1808" s="35" t="s">
        <v>1774</v>
      </c>
      <c r="AH1808" s="154" t="s">
        <v>1791</v>
      </c>
      <c r="AI1808" s="35" t="s">
        <v>1663</v>
      </c>
      <c r="AJ1808" s="35" t="s">
        <v>1666</v>
      </c>
      <c r="AK1808" s="35" t="s">
        <v>587</v>
      </c>
      <c r="AS1808" s="35">
        <v>4</v>
      </c>
      <c r="AT1808" s="35">
        <v>4</v>
      </c>
      <c r="AU1808" s="35" t="s">
        <v>169</v>
      </c>
      <c r="BG1808" s="35">
        <v>1.45</v>
      </c>
      <c r="BH1808" s="35">
        <v>1.39</v>
      </c>
      <c r="BJ1808" s="35">
        <v>3.5</v>
      </c>
      <c r="BK1808" s="35">
        <v>3.7</v>
      </c>
      <c r="BL1808" s="35" t="s">
        <v>1157</v>
      </c>
      <c r="BM1808" s="35">
        <f t="shared" si="266"/>
        <v>10</v>
      </c>
      <c r="BN1808" s="35">
        <f>10^0.8</f>
        <v>6.3095734448019343</v>
      </c>
      <c r="BO1808" s="35" t="s">
        <v>1160</v>
      </c>
      <c r="CN1808" s="35">
        <v>3.2</v>
      </c>
      <c r="CO1808" s="35">
        <v>3.3</v>
      </c>
      <c r="FR1808" s="35" t="s">
        <v>1667</v>
      </c>
    </row>
    <row r="1809" spans="1:174" s="26" customFormat="1" x14ac:dyDescent="0.25">
      <c r="A1809" s="26">
        <v>86</v>
      </c>
      <c r="B1809" s="26" t="s">
        <v>1201</v>
      </c>
      <c r="C1809" s="26" t="s">
        <v>1202</v>
      </c>
      <c r="D1809" s="26">
        <v>2006</v>
      </c>
      <c r="E1809" s="26">
        <v>2003</v>
      </c>
      <c r="F1809" s="26" t="s">
        <v>371</v>
      </c>
      <c r="G1809" s="26" t="s">
        <v>1661</v>
      </c>
      <c r="H1809" s="26">
        <v>40.07</v>
      </c>
      <c r="I1809" s="26">
        <v>-82.85</v>
      </c>
      <c r="J1809" s="26">
        <v>223</v>
      </c>
      <c r="P1809" s="52">
        <v>2</v>
      </c>
      <c r="Q1809" s="52"/>
      <c r="R1809" s="52"/>
      <c r="S1809" s="52" t="s">
        <v>1570</v>
      </c>
      <c r="T1809" s="52" t="s">
        <v>1570</v>
      </c>
      <c r="U1809" s="52" t="s">
        <v>1565</v>
      </c>
      <c r="V1809" s="52" t="s">
        <v>1910</v>
      </c>
      <c r="W1809" s="26">
        <f t="shared" si="263"/>
        <v>1.405</v>
      </c>
      <c r="X1809" s="26">
        <v>27.3</v>
      </c>
      <c r="Y1809" s="26">
        <v>58.7</v>
      </c>
      <c r="Z1809" s="26" t="s">
        <v>531</v>
      </c>
      <c r="AD1809" s="26" t="s">
        <v>1662</v>
      </c>
      <c r="AE1809" s="26" t="s">
        <v>159</v>
      </c>
      <c r="AF1809" s="152" t="s">
        <v>159</v>
      </c>
      <c r="AG1809" s="26" t="s">
        <v>1774</v>
      </c>
      <c r="AH1809" s="154" t="s">
        <v>1791</v>
      </c>
      <c r="AI1809" s="26" t="s">
        <v>1663</v>
      </c>
      <c r="AJ1809" s="26" t="s">
        <v>1664</v>
      </c>
      <c r="AK1809" s="26" t="s">
        <v>587</v>
      </c>
      <c r="AS1809" s="26">
        <v>4</v>
      </c>
      <c r="AT1809" s="26">
        <v>4</v>
      </c>
      <c r="AU1809" s="26" t="s">
        <v>169</v>
      </c>
      <c r="BJ1809" s="26">
        <v>4</v>
      </c>
      <c r="BK1809" s="26">
        <v>4.4000000000000004</v>
      </c>
      <c r="BL1809" s="26" t="s">
        <v>1157</v>
      </c>
      <c r="BM1809" s="26">
        <f>10^0.9</f>
        <v>7.9432823472428176</v>
      </c>
      <c r="BN1809" s="26">
        <f>10^0.6</f>
        <v>3.9810717055349727</v>
      </c>
      <c r="BO1809" s="26" t="s">
        <v>1160</v>
      </c>
      <c r="CN1809" s="26">
        <v>3.1</v>
      </c>
      <c r="CO1809" s="26">
        <v>3</v>
      </c>
      <c r="FR1809" s="26" t="s">
        <v>1667</v>
      </c>
    </row>
    <row r="1810" spans="1:174" s="26" customFormat="1" x14ac:dyDescent="0.25">
      <c r="A1810" s="26">
        <v>86</v>
      </c>
      <c r="B1810" s="26" t="s">
        <v>1201</v>
      </c>
      <c r="C1810" s="26" t="s">
        <v>1202</v>
      </c>
      <c r="D1810" s="26">
        <v>2006</v>
      </c>
      <c r="E1810" s="26">
        <v>2003</v>
      </c>
      <c r="F1810" s="26" t="s">
        <v>371</v>
      </c>
      <c r="G1810" s="26" t="s">
        <v>1661</v>
      </c>
      <c r="H1810" s="26">
        <v>40.07</v>
      </c>
      <c r="I1810" s="26">
        <v>-82.85</v>
      </c>
      <c r="J1810" s="26">
        <v>223</v>
      </c>
      <c r="P1810" s="52">
        <v>2</v>
      </c>
      <c r="Q1810" s="52"/>
      <c r="R1810" s="52"/>
      <c r="S1810" s="52" t="s">
        <v>1570</v>
      </c>
      <c r="T1810" s="52" t="s">
        <v>1570</v>
      </c>
      <c r="U1810" s="52" t="s">
        <v>1565</v>
      </c>
      <c r="V1810" s="52" t="s">
        <v>1910</v>
      </c>
      <c r="W1810" s="26">
        <f t="shared" si="263"/>
        <v>1.405</v>
      </c>
      <c r="X1810" s="26">
        <v>27.3</v>
      </c>
      <c r="Y1810" s="26">
        <v>58.7</v>
      </c>
      <c r="Z1810" s="26" t="s">
        <v>531</v>
      </c>
      <c r="AD1810" s="26" t="s">
        <v>1662</v>
      </c>
      <c r="AE1810" s="26" t="s">
        <v>1698</v>
      </c>
      <c r="AF1810" s="152" t="s">
        <v>1762</v>
      </c>
      <c r="AG1810" s="26" t="s">
        <v>1774</v>
      </c>
      <c r="AH1810" s="154" t="s">
        <v>1791</v>
      </c>
      <c r="AI1810" s="26" t="s">
        <v>1663</v>
      </c>
      <c r="AJ1810" s="26" t="s">
        <v>1665</v>
      </c>
      <c r="AK1810" s="26" t="s">
        <v>587</v>
      </c>
      <c r="AS1810" s="26">
        <v>4</v>
      </c>
      <c r="AT1810" s="26">
        <v>4</v>
      </c>
      <c r="AU1810" s="26" t="s">
        <v>169</v>
      </c>
      <c r="BJ1810" s="26">
        <v>4</v>
      </c>
      <c r="BK1810" s="26">
        <v>4.5999999999999996</v>
      </c>
      <c r="BL1810" s="26" t="s">
        <v>1157</v>
      </c>
      <c r="BM1810" s="26">
        <f t="shared" ref="BM1810:BM1811" si="267">10^0.9</f>
        <v>7.9432823472428176</v>
      </c>
      <c r="BN1810" s="26">
        <f>10^0.7</f>
        <v>5.0118723362727229</v>
      </c>
      <c r="BO1810" s="26" t="s">
        <v>1160</v>
      </c>
      <c r="CN1810" s="26">
        <v>3.1</v>
      </c>
      <c r="CO1810" s="26">
        <v>3.2</v>
      </c>
      <c r="FR1810" s="26" t="s">
        <v>1667</v>
      </c>
    </row>
    <row r="1811" spans="1:174" s="26" customFormat="1" x14ac:dyDescent="0.25">
      <c r="A1811" s="26">
        <v>86</v>
      </c>
      <c r="B1811" s="26" t="s">
        <v>1201</v>
      </c>
      <c r="C1811" s="26" t="s">
        <v>1202</v>
      </c>
      <c r="D1811" s="26">
        <v>2006</v>
      </c>
      <c r="E1811" s="26">
        <v>2003</v>
      </c>
      <c r="F1811" s="26" t="s">
        <v>371</v>
      </c>
      <c r="G1811" s="26" t="s">
        <v>1661</v>
      </c>
      <c r="H1811" s="26">
        <v>40.07</v>
      </c>
      <c r="I1811" s="26">
        <v>-82.85</v>
      </c>
      <c r="J1811" s="26">
        <v>223</v>
      </c>
      <c r="P1811" s="52">
        <v>2</v>
      </c>
      <c r="Q1811" s="52"/>
      <c r="R1811" s="52"/>
      <c r="S1811" s="52" t="s">
        <v>1570</v>
      </c>
      <c r="T1811" s="52" t="s">
        <v>1570</v>
      </c>
      <c r="U1811" s="52" t="s">
        <v>1565</v>
      </c>
      <c r="V1811" s="52" t="s">
        <v>1910</v>
      </c>
      <c r="W1811" s="26">
        <f t="shared" si="263"/>
        <v>1.405</v>
      </c>
      <c r="X1811" s="26">
        <v>27.3</v>
      </c>
      <c r="Y1811" s="26">
        <v>58.7</v>
      </c>
      <c r="Z1811" s="26" t="s">
        <v>531</v>
      </c>
      <c r="AD1811" s="26" t="s">
        <v>1662</v>
      </c>
      <c r="AE1811" s="26" t="s">
        <v>1759</v>
      </c>
      <c r="AF1811" s="152" t="s">
        <v>727</v>
      </c>
      <c r="AG1811" s="26" t="s">
        <v>1774</v>
      </c>
      <c r="AH1811" s="154" t="s">
        <v>1791</v>
      </c>
      <c r="AI1811" s="26" t="s">
        <v>1663</v>
      </c>
      <c r="AJ1811" s="26" t="s">
        <v>1666</v>
      </c>
      <c r="AK1811" s="26" t="s">
        <v>587</v>
      </c>
      <c r="AS1811" s="26">
        <v>4</v>
      </c>
      <c r="AT1811" s="26">
        <v>4</v>
      </c>
      <c r="AU1811" s="26" t="s">
        <v>169</v>
      </c>
      <c r="BJ1811" s="26">
        <v>4</v>
      </c>
      <c r="BK1811" s="26">
        <v>4.7</v>
      </c>
      <c r="BL1811" s="26" t="s">
        <v>1157</v>
      </c>
      <c r="BM1811" s="26">
        <f t="shared" si="267"/>
        <v>7.9432823472428176</v>
      </c>
      <c r="BN1811" s="26">
        <f>10^0.6</f>
        <v>3.9810717055349727</v>
      </c>
      <c r="BO1811" s="26" t="s">
        <v>1160</v>
      </c>
      <c r="CN1811" s="26">
        <v>3.1</v>
      </c>
      <c r="CO1811" s="26">
        <v>3</v>
      </c>
      <c r="FR1811" s="26" t="s">
        <v>1667</v>
      </c>
    </row>
    <row r="1812" spans="1:174" s="26" customFormat="1" x14ac:dyDescent="0.25">
      <c r="A1812" s="26">
        <v>86</v>
      </c>
      <c r="B1812" s="26" t="s">
        <v>1201</v>
      </c>
      <c r="C1812" s="26" t="s">
        <v>1202</v>
      </c>
      <c r="D1812" s="26">
        <v>2006</v>
      </c>
      <c r="E1812" s="26">
        <v>2003</v>
      </c>
      <c r="F1812" s="26" t="s">
        <v>371</v>
      </c>
      <c r="G1812" s="26" t="s">
        <v>1661</v>
      </c>
      <c r="H1812" s="26">
        <v>40.07</v>
      </c>
      <c r="I1812" s="26">
        <v>-82.85</v>
      </c>
      <c r="J1812" s="26">
        <v>223</v>
      </c>
      <c r="P1812" s="52">
        <v>2</v>
      </c>
      <c r="Q1812" s="52"/>
      <c r="R1812" s="52"/>
      <c r="S1812" s="52" t="s">
        <v>1577</v>
      </c>
      <c r="T1812" s="52" t="s">
        <v>1570</v>
      </c>
      <c r="U1812" s="52" t="s">
        <v>1565</v>
      </c>
      <c r="V1812" s="52" t="s">
        <v>1910</v>
      </c>
      <c r="W1812" s="26">
        <f t="shared" si="263"/>
        <v>1.405</v>
      </c>
      <c r="X1812" s="26">
        <v>27.3</v>
      </c>
      <c r="Y1812" s="26">
        <v>58.7</v>
      </c>
      <c r="Z1812" s="26" t="s">
        <v>531</v>
      </c>
      <c r="AD1812" s="26" t="s">
        <v>1662</v>
      </c>
      <c r="AE1812" s="26" t="s">
        <v>159</v>
      </c>
      <c r="AF1812" s="152" t="s">
        <v>159</v>
      </c>
      <c r="AG1812" s="26" t="s">
        <v>1774</v>
      </c>
      <c r="AH1812" s="154" t="s">
        <v>1791</v>
      </c>
      <c r="AI1812" s="26" t="s">
        <v>1663</v>
      </c>
      <c r="AJ1812" s="26" t="s">
        <v>1664</v>
      </c>
      <c r="AK1812" s="26" t="s">
        <v>587</v>
      </c>
      <c r="AS1812" s="26">
        <v>4</v>
      </c>
      <c r="AT1812" s="26">
        <v>4</v>
      </c>
      <c r="AU1812" s="26" t="s">
        <v>169</v>
      </c>
      <c r="BJ1812" s="26">
        <v>3.2</v>
      </c>
      <c r="BK1812" s="26">
        <v>3.4</v>
      </c>
      <c r="BL1812" s="26" t="s">
        <v>1157</v>
      </c>
      <c r="BM1812" s="26">
        <f>10^0.8</f>
        <v>6.3095734448019343</v>
      </c>
      <c r="BN1812" s="26">
        <f>10^0.7</f>
        <v>5.0118723362727229</v>
      </c>
      <c r="BO1812" s="26" t="s">
        <v>1160</v>
      </c>
      <c r="CN1812" s="26">
        <v>3.3</v>
      </c>
      <c r="CO1812" s="26">
        <v>3.2</v>
      </c>
      <c r="FR1812" s="26" t="s">
        <v>1667</v>
      </c>
    </row>
    <row r="1813" spans="1:174" s="26" customFormat="1" x14ac:dyDescent="0.25">
      <c r="A1813" s="26">
        <v>86</v>
      </c>
      <c r="B1813" s="26" t="s">
        <v>1201</v>
      </c>
      <c r="C1813" s="26" t="s">
        <v>1202</v>
      </c>
      <c r="D1813" s="26">
        <v>2006</v>
      </c>
      <c r="E1813" s="26">
        <v>2003</v>
      </c>
      <c r="F1813" s="26" t="s">
        <v>371</v>
      </c>
      <c r="G1813" s="26" t="s">
        <v>1661</v>
      </c>
      <c r="H1813" s="26">
        <v>40.07</v>
      </c>
      <c r="I1813" s="26">
        <v>-82.85</v>
      </c>
      <c r="J1813" s="26">
        <v>223</v>
      </c>
      <c r="P1813" s="52">
        <v>2</v>
      </c>
      <c r="Q1813" s="52"/>
      <c r="R1813" s="52"/>
      <c r="S1813" s="52" t="s">
        <v>1577</v>
      </c>
      <c r="T1813" s="52" t="s">
        <v>1570</v>
      </c>
      <c r="U1813" s="52" t="s">
        <v>1565</v>
      </c>
      <c r="V1813" s="52" t="s">
        <v>1910</v>
      </c>
      <c r="W1813" s="26">
        <f t="shared" si="263"/>
        <v>1.405</v>
      </c>
      <c r="X1813" s="26">
        <v>27.3</v>
      </c>
      <c r="Y1813" s="26">
        <v>58.7</v>
      </c>
      <c r="Z1813" s="26" t="s">
        <v>531</v>
      </c>
      <c r="AD1813" s="26" t="s">
        <v>1662</v>
      </c>
      <c r="AE1813" s="26" t="s">
        <v>1698</v>
      </c>
      <c r="AF1813" s="152" t="s">
        <v>1762</v>
      </c>
      <c r="AG1813" s="26" t="s">
        <v>1774</v>
      </c>
      <c r="AH1813" s="154" t="s">
        <v>1791</v>
      </c>
      <c r="AI1813" s="26" t="s">
        <v>1663</v>
      </c>
      <c r="AJ1813" s="26" t="s">
        <v>1665</v>
      </c>
      <c r="AK1813" s="26" t="s">
        <v>587</v>
      </c>
      <c r="AS1813" s="26">
        <v>4</v>
      </c>
      <c r="AT1813" s="26">
        <v>4</v>
      </c>
      <c r="AU1813" s="26" t="s">
        <v>169</v>
      </c>
      <c r="BJ1813" s="26">
        <v>3.2</v>
      </c>
      <c r="BK1813" s="26">
        <v>3.5</v>
      </c>
      <c r="BL1813" s="26" t="s">
        <v>1157</v>
      </c>
      <c r="BM1813" s="26">
        <f t="shared" ref="BM1813:BM1814" si="268">10^0.8</f>
        <v>6.3095734448019343</v>
      </c>
      <c r="BN1813" s="26">
        <f>10^0.6</f>
        <v>3.9810717055349727</v>
      </c>
      <c r="BO1813" s="26" t="s">
        <v>1160</v>
      </c>
      <c r="CN1813" s="26">
        <v>3.3</v>
      </c>
      <c r="CO1813" s="26">
        <v>3.3</v>
      </c>
      <c r="FR1813" s="26" t="s">
        <v>1667</v>
      </c>
    </row>
    <row r="1814" spans="1:174" s="26" customFormat="1" x14ac:dyDescent="0.25">
      <c r="A1814" s="26">
        <v>86</v>
      </c>
      <c r="B1814" s="26" t="s">
        <v>1201</v>
      </c>
      <c r="C1814" s="26" t="s">
        <v>1202</v>
      </c>
      <c r="D1814" s="26">
        <v>2006</v>
      </c>
      <c r="E1814" s="26">
        <v>2003</v>
      </c>
      <c r="F1814" s="26" t="s">
        <v>371</v>
      </c>
      <c r="G1814" s="26" t="s">
        <v>1661</v>
      </c>
      <c r="H1814" s="26">
        <v>40.07</v>
      </c>
      <c r="I1814" s="26">
        <v>-82.85</v>
      </c>
      <c r="J1814" s="26">
        <v>223</v>
      </c>
      <c r="P1814" s="52">
        <v>2</v>
      </c>
      <c r="Q1814" s="52"/>
      <c r="R1814" s="52"/>
      <c r="S1814" s="52" t="s">
        <v>1577</v>
      </c>
      <c r="T1814" s="52" t="s">
        <v>1570</v>
      </c>
      <c r="U1814" s="52" t="s">
        <v>1565</v>
      </c>
      <c r="V1814" s="52" t="s">
        <v>1910</v>
      </c>
      <c r="W1814" s="26">
        <f t="shared" si="263"/>
        <v>1.405</v>
      </c>
      <c r="X1814" s="26">
        <v>27.3</v>
      </c>
      <c r="Y1814" s="26">
        <v>58.7</v>
      </c>
      <c r="Z1814" s="26" t="s">
        <v>531</v>
      </c>
      <c r="AD1814" s="26" t="s">
        <v>1662</v>
      </c>
      <c r="AE1814" s="26" t="s">
        <v>1759</v>
      </c>
      <c r="AF1814" s="152" t="s">
        <v>727</v>
      </c>
      <c r="AG1814" s="26" t="s">
        <v>1774</v>
      </c>
      <c r="AH1814" s="154" t="s">
        <v>1791</v>
      </c>
      <c r="AI1814" s="26" t="s">
        <v>1663</v>
      </c>
      <c r="AJ1814" s="26" t="s">
        <v>1666</v>
      </c>
      <c r="AK1814" s="26" t="s">
        <v>587</v>
      </c>
      <c r="AS1814" s="26">
        <v>4</v>
      </c>
      <c r="AT1814" s="26">
        <v>4</v>
      </c>
      <c r="AU1814" s="26" t="s">
        <v>169</v>
      </c>
      <c r="BJ1814" s="26">
        <v>3.2</v>
      </c>
      <c r="BK1814" s="26">
        <v>3.5</v>
      </c>
      <c r="BL1814" s="26" t="s">
        <v>1157</v>
      </c>
      <c r="BM1814" s="26">
        <f t="shared" si="268"/>
        <v>6.3095734448019343</v>
      </c>
      <c r="BN1814" s="26">
        <f>10^0.6</f>
        <v>3.9810717055349727</v>
      </c>
      <c r="BO1814" s="26" t="s">
        <v>1160</v>
      </c>
      <c r="CN1814" s="26">
        <v>3.3</v>
      </c>
      <c r="CO1814" s="26">
        <v>3.3</v>
      </c>
      <c r="FR1814" s="26" t="s">
        <v>1667</v>
      </c>
    </row>
    <row r="1815" spans="1:174" s="26" customFormat="1" x14ac:dyDescent="0.25">
      <c r="A1815" s="26">
        <v>86</v>
      </c>
      <c r="B1815" s="26" t="s">
        <v>1201</v>
      </c>
      <c r="C1815" s="26" t="s">
        <v>1202</v>
      </c>
      <c r="D1815" s="26">
        <v>2006</v>
      </c>
      <c r="E1815" s="26">
        <v>2003</v>
      </c>
      <c r="F1815" s="26" t="s">
        <v>371</v>
      </c>
      <c r="G1815" s="26" t="s">
        <v>1661</v>
      </c>
      <c r="H1815" s="26">
        <v>40.07</v>
      </c>
      <c r="I1815" s="26">
        <v>-82.85</v>
      </c>
      <c r="J1815" s="26">
        <v>223</v>
      </c>
      <c r="P1815" s="52">
        <v>2</v>
      </c>
      <c r="Q1815" s="52"/>
      <c r="R1815" s="52"/>
      <c r="S1815" s="52" t="s">
        <v>1585</v>
      </c>
      <c r="T1815" s="52" t="s">
        <v>1570</v>
      </c>
      <c r="U1815" s="52" t="s">
        <v>1565</v>
      </c>
      <c r="V1815" s="52" t="s">
        <v>1910</v>
      </c>
      <c r="W1815" s="26">
        <f t="shared" si="263"/>
        <v>1.405</v>
      </c>
      <c r="X1815" s="26">
        <v>27.3</v>
      </c>
      <c r="Y1815" s="26">
        <v>58.7</v>
      </c>
      <c r="Z1815" s="26" t="s">
        <v>531</v>
      </c>
      <c r="AD1815" s="26" t="s">
        <v>1662</v>
      </c>
      <c r="AE1815" s="26" t="s">
        <v>159</v>
      </c>
      <c r="AF1815" s="152" t="s">
        <v>159</v>
      </c>
      <c r="AG1815" s="26" t="s">
        <v>1774</v>
      </c>
      <c r="AH1815" s="154" t="s">
        <v>1791</v>
      </c>
      <c r="AI1815" s="26" t="s">
        <v>1663</v>
      </c>
      <c r="AJ1815" s="26" t="s">
        <v>1664</v>
      </c>
      <c r="AK1815" s="26" t="s">
        <v>587</v>
      </c>
      <c r="AS1815" s="26">
        <v>4</v>
      </c>
      <c r="AT1815" s="26">
        <v>4</v>
      </c>
      <c r="AU1815" s="26" t="s">
        <v>169</v>
      </c>
      <c r="BJ1815" s="26">
        <v>3.3</v>
      </c>
      <c r="BK1815" s="26">
        <v>3.3</v>
      </c>
      <c r="BL1815" s="26" t="s">
        <v>1157</v>
      </c>
      <c r="BM1815" s="26">
        <f>10^0.4</f>
        <v>2.5118864315095806</v>
      </c>
      <c r="BN1815" s="26">
        <f>10^0.3</f>
        <v>1.9952623149688797</v>
      </c>
      <c r="BO1815" s="26" t="s">
        <v>1160</v>
      </c>
      <c r="CN1815" s="26">
        <v>3.2</v>
      </c>
      <c r="CO1815" s="26">
        <v>3.3</v>
      </c>
      <c r="FR1815" s="26" t="s">
        <v>1667</v>
      </c>
    </row>
    <row r="1816" spans="1:174" s="26" customFormat="1" x14ac:dyDescent="0.25">
      <c r="A1816" s="26">
        <v>86</v>
      </c>
      <c r="B1816" s="26" t="s">
        <v>1201</v>
      </c>
      <c r="C1816" s="26" t="s">
        <v>1202</v>
      </c>
      <c r="D1816" s="26">
        <v>2006</v>
      </c>
      <c r="E1816" s="26">
        <v>2003</v>
      </c>
      <c r="F1816" s="26" t="s">
        <v>371</v>
      </c>
      <c r="G1816" s="26" t="s">
        <v>1661</v>
      </c>
      <c r="H1816" s="26">
        <v>40.07</v>
      </c>
      <c r="I1816" s="26">
        <v>-82.85</v>
      </c>
      <c r="J1816" s="26">
        <v>223</v>
      </c>
      <c r="P1816" s="52">
        <v>2</v>
      </c>
      <c r="Q1816" s="52"/>
      <c r="R1816" s="52"/>
      <c r="S1816" s="52" t="s">
        <v>1585</v>
      </c>
      <c r="T1816" s="52" t="s">
        <v>1570</v>
      </c>
      <c r="U1816" s="52" t="s">
        <v>1565</v>
      </c>
      <c r="V1816" s="52" t="s">
        <v>1910</v>
      </c>
      <c r="W1816" s="26">
        <f t="shared" si="263"/>
        <v>1.405</v>
      </c>
      <c r="X1816" s="26">
        <v>27.3</v>
      </c>
      <c r="Y1816" s="26">
        <v>58.7</v>
      </c>
      <c r="Z1816" s="26" t="s">
        <v>531</v>
      </c>
      <c r="AD1816" s="26" t="s">
        <v>1662</v>
      </c>
      <c r="AE1816" s="26" t="s">
        <v>1698</v>
      </c>
      <c r="AF1816" s="152" t="s">
        <v>1762</v>
      </c>
      <c r="AG1816" s="26" t="s">
        <v>1774</v>
      </c>
      <c r="AH1816" s="154" t="s">
        <v>1791</v>
      </c>
      <c r="AI1816" s="26" t="s">
        <v>1663</v>
      </c>
      <c r="AJ1816" s="26" t="s">
        <v>1665</v>
      </c>
      <c r="AK1816" s="26" t="s">
        <v>587</v>
      </c>
      <c r="AS1816" s="26">
        <v>4</v>
      </c>
      <c r="AT1816" s="26">
        <v>4</v>
      </c>
      <c r="AU1816" s="26" t="s">
        <v>169</v>
      </c>
      <c r="BJ1816" s="26">
        <v>3.3</v>
      </c>
      <c r="BK1816" s="26">
        <v>3.3</v>
      </c>
      <c r="BL1816" s="26" t="s">
        <v>1157</v>
      </c>
      <c r="BM1816" s="26">
        <f t="shared" ref="BM1816:BM1817" si="269">10^0.4</f>
        <v>2.5118864315095806</v>
      </c>
      <c r="BN1816" s="26">
        <f>10^0.6</f>
        <v>3.9810717055349727</v>
      </c>
      <c r="BO1816" s="26" t="s">
        <v>1160</v>
      </c>
      <c r="CN1816" s="26">
        <v>3.2</v>
      </c>
      <c r="CO1816" s="26">
        <v>3.3</v>
      </c>
      <c r="FR1816" s="26" t="s">
        <v>1667</v>
      </c>
    </row>
    <row r="1817" spans="1:174" s="26" customFormat="1" x14ac:dyDescent="0.25">
      <c r="A1817" s="26">
        <v>86</v>
      </c>
      <c r="B1817" s="26" t="s">
        <v>1201</v>
      </c>
      <c r="C1817" s="26" t="s">
        <v>1202</v>
      </c>
      <c r="D1817" s="26">
        <v>2006</v>
      </c>
      <c r="E1817" s="26">
        <v>2003</v>
      </c>
      <c r="F1817" s="26" t="s">
        <v>371</v>
      </c>
      <c r="G1817" s="26" t="s">
        <v>1661</v>
      </c>
      <c r="H1817" s="26">
        <v>40.07</v>
      </c>
      <c r="I1817" s="26">
        <v>-82.85</v>
      </c>
      <c r="J1817" s="26">
        <v>223</v>
      </c>
      <c r="P1817" s="52">
        <v>2</v>
      </c>
      <c r="Q1817" s="52"/>
      <c r="R1817" s="52"/>
      <c r="S1817" s="52" t="s">
        <v>1585</v>
      </c>
      <c r="T1817" s="52" t="s">
        <v>1570</v>
      </c>
      <c r="U1817" s="52" t="s">
        <v>1565</v>
      </c>
      <c r="V1817" s="52" t="s">
        <v>1910</v>
      </c>
      <c r="W1817" s="26">
        <f t="shared" si="263"/>
        <v>1.405</v>
      </c>
      <c r="X1817" s="26">
        <v>27.3</v>
      </c>
      <c r="Y1817" s="26">
        <v>58.7</v>
      </c>
      <c r="Z1817" s="26" t="s">
        <v>531</v>
      </c>
      <c r="AD1817" s="26" t="s">
        <v>1662</v>
      </c>
      <c r="AE1817" s="26" t="s">
        <v>1759</v>
      </c>
      <c r="AF1817" s="152" t="s">
        <v>727</v>
      </c>
      <c r="AG1817" s="26" t="s">
        <v>1774</v>
      </c>
      <c r="AH1817" s="154" t="s">
        <v>1791</v>
      </c>
      <c r="AI1817" s="26" t="s">
        <v>1663</v>
      </c>
      <c r="AJ1817" s="26" t="s">
        <v>1666</v>
      </c>
      <c r="AK1817" s="26" t="s">
        <v>587</v>
      </c>
      <c r="AS1817" s="26">
        <v>4</v>
      </c>
      <c r="AT1817" s="26">
        <v>4</v>
      </c>
      <c r="AU1817" s="26" t="s">
        <v>169</v>
      </c>
      <c r="BJ1817" s="26">
        <v>3.3</v>
      </c>
      <c r="BK1817" s="26">
        <v>3.3</v>
      </c>
      <c r="BL1817" s="26" t="s">
        <v>1157</v>
      </c>
      <c r="BM1817" s="26">
        <f t="shared" si="269"/>
        <v>2.5118864315095806</v>
      </c>
      <c r="BN1817" s="26">
        <f>10^0.3</f>
        <v>1.9952623149688797</v>
      </c>
      <c r="BO1817" s="26" t="s">
        <v>1160</v>
      </c>
      <c r="CN1817" s="26">
        <v>3.2</v>
      </c>
      <c r="CO1817" s="26">
        <v>3.3</v>
      </c>
      <c r="FR1817" s="26" t="s">
        <v>1667</v>
      </c>
    </row>
    <row r="1818" spans="1:174" s="26" customFormat="1" x14ac:dyDescent="0.25">
      <c r="A1818" s="26">
        <v>86</v>
      </c>
      <c r="B1818" s="26" t="s">
        <v>1201</v>
      </c>
      <c r="C1818" s="26" t="s">
        <v>1202</v>
      </c>
      <c r="D1818" s="26">
        <v>2006</v>
      </c>
      <c r="E1818" s="26">
        <v>2003</v>
      </c>
      <c r="F1818" s="26" t="s">
        <v>371</v>
      </c>
      <c r="G1818" s="26" t="s">
        <v>1661</v>
      </c>
      <c r="H1818" s="26">
        <v>40.07</v>
      </c>
      <c r="I1818" s="26">
        <v>-82.85</v>
      </c>
      <c r="J1818" s="26">
        <v>223</v>
      </c>
      <c r="P1818" s="52">
        <v>2</v>
      </c>
      <c r="Q1818" s="52"/>
      <c r="R1818" s="52"/>
      <c r="S1818" s="52" t="s">
        <v>1566</v>
      </c>
      <c r="T1818" s="52" t="s">
        <v>1570</v>
      </c>
      <c r="U1818" s="52" t="s">
        <v>1565</v>
      </c>
      <c r="V1818" s="52" t="s">
        <v>1905</v>
      </c>
      <c r="W1818" s="26">
        <f t="shared" si="263"/>
        <v>1.405</v>
      </c>
      <c r="X1818" s="26">
        <v>27.3</v>
      </c>
      <c r="Y1818" s="26">
        <v>58.7</v>
      </c>
      <c r="Z1818" s="26" t="s">
        <v>531</v>
      </c>
      <c r="AD1818" s="26" t="s">
        <v>1662</v>
      </c>
      <c r="AE1818" s="26" t="s">
        <v>159</v>
      </c>
      <c r="AF1818" s="152" t="s">
        <v>159</v>
      </c>
      <c r="AG1818" s="26" t="s">
        <v>1774</v>
      </c>
      <c r="AH1818" s="154" t="s">
        <v>1791</v>
      </c>
      <c r="AI1818" s="26" t="s">
        <v>1663</v>
      </c>
      <c r="AJ1818" s="26" t="s">
        <v>1664</v>
      </c>
      <c r="AK1818" s="26" t="s">
        <v>587</v>
      </c>
      <c r="AS1818" s="26">
        <v>4</v>
      </c>
      <c r="AT1818" s="26">
        <v>4</v>
      </c>
      <c r="AU1818" s="26" t="s">
        <v>169</v>
      </c>
      <c r="BJ1818" s="26">
        <v>3.7</v>
      </c>
      <c r="BK1818" s="26">
        <v>3.8</v>
      </c>
      <c r="BL1818" s="26" t="s">
        <v>1157</v>
      </c>
      <c r="BM1818" s="26">
        <f>10^0.8</f>
        <v>6.3095734448019343</v>
      </c>
      <c r="BN1818" s="26">
        <f>10^0.7</f>
        <v>5.0118723362727229</v>
      </c>
      <c r="BO1818" s="26" t="s">
        <v>1160</v>
      </c>
      <c r="CN1818" s="26">
        <v>3.2</v>
      </c>
      <c r="CO1818" s="26">
        <v>3.2</v>
      </c>
      <c r="FR1818" s="26" t="s">
        <v>1667</v>
      </c>
    </row>
    <row r="1819" spans="1:174" s="26" customFormat="1" x14ac:dyDescent="0.25">
      <c r="A1819" s="26">
        <v>86</v>
      </c>
      <c r="B1819" s="26" t="s">
        <v>1201</v>
      </c>
      <c r="C1819" s="26" t="s">
        <v>1202</v>
      </c>
      <c r="D1819" s="26">
        <v>2006</v>
      </c>
      <c r="E1819" s="26">
        <v>2003</v>
      </c>
      <c r="F1819" s="26" t="s">
        <v>371</v>
      </c>
      <c r="G1819" s="26" t="s">
        <v>1661</v>
      </c>
      <c r="H1819" s="26">
        <v>40.07</v>
      </c>
      <c r="I1819" s="26">
        <v>-82.85</v>
      </c>
      <c r="J1819" s="26">
        <v>223</v>
      </c>
      <c r="P1819" s="52">
        <v>2</v>
      </c>
      <c r="Q1819" s="52"/>
      <c r="R1819" s="52"/>
      <c r="S1819" s="52" t="s">
        <v>1566</v>
      </c>
      <c r="T1819" s="52" t="s">
        <v>1570</v>
      </c>
      <c r="U1819" s="52" t="s">
        <v>1565</v>
      </c>
      <c r="V1819" s="52" t="s">
        <v>1905</v>
      </c>
      <c r="W1819" s="26">
        <f t="shared" si="263"/>
        <v>1.405</v>
      </c>
      <c r="X1819" s="26">
        <v>27.3</v>
      </c>
      <c r="Y1819" s="26">
        <v>58.7</v>
      </c>
      <c r="Z1819" s="26" t="s">
        <v>531</v>
      </c>
      <c r="AD1819" s="26" t="s">
        <v>1662</v>
      </c>
      <c r="AE1819" s="26" t="s">
        <v>1698</v>
      </c>
      <c r="AF1819" s="152" t="s">
        <v>1762</v>
      </c>
      <c r="AG1819" s="26" t="s">
        <v>1774</v>
      </c>
      <c r="AH1819" s="154" t="s">
        <v>1791</v>
      </c>
      <c r="AI1819" s="26" t="s">
        <v>1663</v>
      </c>
      <c r="AJ1819" s="26" t="s">
        <v>1665</v>
      </c>
      <c r="AK1819" s="26" t="s">
        <v>587</v>
      </c>
      <c r="AS1819" s="26">
        <v>4</v>
      </c>
      <c r="AT1819" s="26">
        <v>4</v>
      </c>
      <c r="AU1819" s="26" t="s">
        <v>169</v>
      </c>
      <c r="BJ1819" s="26">
        <v>3.7</v>
      </c>
      <c r="BK1819" s="26">
        <v>3.7</v>
      </c>
      <c r="BL1819" s="26" t="s">
        <v>1157</v>
      </c>
      <c r="BM1819" s="26">
        <f t="shared" ref="BM1819:BM1820" si="270">10^0.8</f>
        <v>6.3095734448019343</v>
      </c>
      <c r="BN1819" s="26">
        <f>10^0.5</f>
        <v>3.1622776601683795</v>
      </c>
      <c r="BO1819" s="26" t="s">
        <v>1160</v>
      </c>
      <c r="CN1819" s="26">
        <v>3.2</v>
      </c>
      <c r="CO1819" s="26">
        <v>3.3</v>
      </c>
      <c r="FR1819" s="26" t="s">
        <v>1667</v>
      </c>
    </row>
    <row r="1820" spans="1:174" s="26" customFormat="1" x14ac:dyDescent="0.25">
      <c r="A1820" s="26">
        <v>86</v>
      </c>
      <c r="B1820" s="26" t="s">
        <v>1201</v>
      </c>
      <c r="C1820" s="26" t="s">
        <v>1202</v>
      </c>
      <c r="D1820" s="26">
        <v>2006</v>
      </c>
      <c r="E1820" s="26">
        <v>2003</v>
      </c>
      <c r="F1820" s="26" t="s">
        <v>371</v>
      </c>
      <c r="G1820" s="26" t="s">
        <v>1661</v>
      </c>
      <c r="H1820" s="26">
        <v>40.07</v>
      </c>
      <c r="I1820" s="26">
        <v>-82.85</v>
      </c>
      <c r="J1820" s="26">
        <v>223</v>
      </c>
      <c r="P1820" s="52">
        <v>2</v>
      </c>
      <c r="Q1820" s="52"/>
      <c r="R1820" s="52"/>
      <c r="S1820" s="52" t="s">
        <v>1566</v>
      </c>
      <c r="T1820" s="52" t="s">
        <v>1570</v>
      </c>
      <c r="U1820" s="52" t="s">
        <v>1565</v>
      </c>
      <c r="V1820" s="52" t="s">
        <v>1905</v>
      </c>
      <c r="W1820" s="26">
        <f t="shared" si="263"/>
        <v>1.405</v>
      </c>
      <c r="X1820" s="26">
        <v>27.3</v>
      </c>
      <c r="Y1820" s="26">
        <v>58.7</v>
      </c>
      <c r="Z1820" s="26" t="s">
        <v>531</v>
      </c>
      <c r="AD1820" s="26" t="s">
        <v>1662</v>
      </c>
      <c r="AE1820" s="26" t="s">
        <v>1759</v>
      </c>
      <c r="AF1820" s="152" t="s">
        <v>727</v>
      </c>
      <c r="AG1820" s="26" t="s">
        <v>1774</v>
      </c>
      <c r="AH1820" s="154" t="s">
        <v>1791</v>
      </c>
      <c r="AI1820" s="26" t="s">
        <v>1663</v>
      </c>
      <c r="AJ1820" s="26" t="s">
        <v>1666</v>
      </c>
      <c r="AK1820" s="26" t="s">
        <v>587</v>
      </c>
      <c r="AS1820" s="26">
        <v>4</v>
      </c>
      <c r="AT1820" s="26">
        <v>4</v>
      </c>
      <c r="AU1820" s="26" t="s">
        <v>169</v>
      </c>
      <c r="BJ1820" s="26">
        <v>3.7</v>
      </c>
      <c r="BK1820" s="26">
        <v>4</v>
      </c>
      <c r="BL1820" s="26" t="s">
        <v>1157</v>
      </c>
      <c r="BM1820" s="26">
        <f t="shared" si="270"/>
        <v>6.3095734448019343</v>
      </c>
      <c r="BN1820" s="26">
        <f>10^0.6</f>
        <v>3.9810717055349727</v>
      </c>
      <c r="BO1820" s="26" t="s">
        <v>1160</v>
      </c>
      <c r="CN1820" s="26">
        <v>3.2</v>
      </c>
      <c r="CO1820" s="26">
        <v>3.3</v>
      </c>
      <c r="FR1820" s="26" t="s">
        <v>1667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55" workbookViewId="0">
      <selection activeCell="F114" sqref="F114"/>
    </sheetView>
  </sheetViews>
  <sheetFormatPr defaultRowHeight="15" x14ac:dyDescent="0.25"/>
  <cols>
    <col min="2" max="2" width="28.140625" customWidth="1"/>
    <col min="3" max="3" width="70.5703125" customWidth="1"/>
    <col min="4" max="4" width="42.42578125" customWidth="1"/>
  </cols>
  <sheetData>
    <row r="1" spans="1:5" x14ac:dyDescent="0.25">
      <c r="A1" s="2" t="s">
        <v>5</v>
      </c>
      <c r="B1" t="s">
        <v>137</v>
      </c>
      <c r="C1" t="s">
        <v>669</v>
      </c>
      <c r="E1" t="s">
        <v>201</v>
      </c>
    </row>
    <row r="2" spans="1:5" x14ac:dyDescent="0.25">
      <c r="A2" s="2" t="s">
        <v>5</v>
      </c>
      <c r="B2" s="1" t="s">
        <v>45</v>
      </c>
      <c r="C2" s="4" t="s">
        <v>116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221</v>
      </c>
      <c r="C5" s="4" t="s">
        <v>225</v>
      </c>
    </row>
    <row r="6" spans="1:5" x14ac:dyDescent="0.25">
      <c r="A6" s="2"/>
      <c r="B6" s="1" t="s">
        <v>111</v>
      </c>
      <c r="C6" s="4" t="s">
        <v>112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110</v>
      </c>
      <c r="C10" s="4" t="s">
        <v>110</v>
      </c>
      <c r="D10" t="s">
        <v>157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162</v>
      </c>
    </row>
    <row r="14" spans="1:5" x14ac:dyDescent="0.25">
      <c r="A14" s="2"/>
      <c r="B14" s="1" t="s">
        <v>17</v>
      </c>
      <c r="C14" s="4" t="s">
        <v>53</v>
      </c>
      <c r="D14" t="s">
        <v>162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996</v>
      </c>
      <c r="C17" s="4" t="s">
        <v>1001</v>
      </c>
    </row>
    <row r="18" spans="1:4" x14ac:dyDescent="0.25">
      <c r="A18" s="2"/>
      <c r="B18" s="1" t="s">
        <v>998</v>
      </c>
      <c r="C18" s="4" t="s">
        <v>999</v>
      </c>
    </row>
    <row r="19" spans="1:4" x14ac:dyDescent="0.25">
      <c r="A19" s="2"/>
      <c r="B19" s="1" t="s">
        <v>7</v>
      </c>
      <c r="C19" s="4" t="s">
        <v>113</v>
      </c>
      <c r="D19" t="s">
        <v>187</v>
      </c>
    </row>
    <row r="20" spans="1:4" x14ac:dyDescent="0.25">
      <c r="A20" s="2"/>
      <c r="B20" s="1" t="s">
        <v>321</v>
      </c>
      <c r="C20" s="4" t="s">
        <v>322</v>
      </c>
    </row>
    <row r="21" spans="1:4" x14ac:dyDescent="0.25">
      <c r="A21" s="2"/>
      <c r="B21" s="1" t="s">
        <v>149</v>
      </c>
      <c r="C21" s="4" t="s">
        <v>151</v>
      </c>
    </row>
    <row r="22" spans="1:4" x14ac:dyDescent="0.25">
      <c r="A22" s="2"/>
      <c r="B22" s="1" t="s">
        <v>150</v>
      </c>
      <c r="C22" s="4" t="s">
        <v>152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226</v>
      </c>
      <c r="C24" s="4" t="s">
        <v>229</v>
      </c>
    </row>
    <row r="25" spans="1:4" x14ac:dyDescent="0.25">
      <c r="A25" s="2"/>
      <c r="B25" s="1" t="s">
        <v>227</v>
      </c>
      <c r="C25" s="4" t="s">
        <v>230</v>
      </c>
      <c r="D25" t="s">
        <v>90</v>
      </c>
    </row>
    <row r="26" spans="1:4" x14ac:dyDescent="0.25">
      <c r="A26" s="2"/>
      <c r="B26" s="1" t="s">
        <v>228</v>
      </c>
      <c r="C26" s="4" t="s">
        <v>231</v>
      </c>
      <c r="D26" t="s">
        <v>605</v>
      </c>
    </row>
    <row r="27" spans="1:4" x14ac:dyDescent="0.25">
      <c r="A27" s="2"/>
      <c r="B27" s="1" t="s">
        <v>1469</v>
      </c>
      <c r="C27" s="4" t="s">
        <v>86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1679</v>
      </c>
      <c r="C29" s="4" t="s">
        <v>1680</v>
      </c>
      <c r="D29" t="s">
        <v>1887</v>
      </c>
    </row>
    <row r="30" spans="1:4" x14ac:dyDescent="0.25">
      <c r="A30" s="2"/>
      <c r="B30" s="1" t="s">
        <v>1</v>
      </c>
      <c r="C30" s="4" t="s">
        <v>58</v>
      </c>
    </row>
    <row r="31" spans="1:4" x14ac:dyDescent="0.25">
      <c r="A31" s="2"/>
      <c r="B31" s="1" t="s">
        <v>1678</v>
      </c>
      <c r="C31" s="4" t="s">
        <v>1681</v>
      </c>
      <c r="D31" t="s">
        <v>1888</v>
      </c>
    </row>
    <row r="32" spans="1:4" x14ac:dyDescent="0.25">
      <c r="A32" s="2"/>
      <c r="B32" s="1" t="s">
        <v>619</v>
      </c>
      <c r="C32" s="4" t="s">
        <v>654</v>
      </c>
    </row>
    <row r="33" spans="1:4" x14ac:dyDescent="0.25">
      <c r="A33" s="2"/>
      <c r="B33" s="1" t="s">
        <v>618</v>
      </c>
      <c r="C33" s="4" t="s">
        <v>653</v>
      </c>
    </row>
    <row r="34" spans="1:4" x14ac:dyDescent="0.25">
      <c r="A34" s="2"/>
      <c r="B34" s="1" t="s">
        <v>620</v>
      </c>
      <c r="C34" s="4" t="s">
        <v>655</v>
      </c>
    </row>
    <row r="35" spans="1:4" x14ac:dyDescent="0.25">
      <c r="A35" s="2"/>
      <c r="B35" s="1" t="s">
        <v>623</v>
      </c>
      <c r="C35" s="4" t="s">
        <v>626</v>
      </c>
    </row>
    <row r="36" spans="1:4" x14ac:dyDescent="0.25">
      <c r="A36" s="2"/>
      <c r="B36" s="1" t="s">
        <v>622</v>
      </c>
      <c r="C36" s="4" t="s">
        <v>625</v>
      </c>
    </row>
    <row r="37" spans="1:4" x14ac:dyDescent="0.25">
      <c r="A37" s="2"/>
      <c r="B37" s="1" t="s">
        <v>624</v>
      </c>
      <c r="C37" s="4" t="s">
        <v>621</v>
      </c>
    </row>
    <row r="38" spans="1:4" x14ac:dyDescent="0.25">
      <c r="A38" s="2"/>
      <c r="B38" s="1" t="s">
        <v>255</v>
      </c>
      <c r="C38" s="4" t="s">
        <v>59</v>
      </c>
    </row>
    <row r="39" spans="1:4" x14ac:dyDescent="0.25">
      <c r="A39" s="2"/>
      <c r="B39" s="1" t="s">
        <v>254</v>
      </c>
      <c r="C39" s="4" t="s">
        <v>59</v>
      </c>
    </row>
    <row r="40" spans="1:4" x14ac:dyDescent="0.25">
      <c r="A40" s="2"/>
      <c r="B40" s="1" t="s">
        <v>586</v>
      </c>
      <c r="C40" s="4" t="s">
        <v>588</v>
      </c>
    </row>
    <row r="41" spans="1:4" x14ac:dyDescent="0.25">
      <c r="A41" s="2"/>
      <c r="B41" s="6" t="s">
        <v>88</v>
      </c>
      <c r="C41" s="4" t="s">
        <v>89</v>
      </c>
    </row>
    <row r="42" spans="1:4" x14ac:dyDescent="0.25">
      <c r="A42" s="2"/>
      <c r="B42" s="6" t="s">
        <v>26</v>
      </c>
      <c r="C42" t="s">
        <v>61</v>
      </c>
    </row>
    <row r="43" spans="1:4" x14ac:dyDescent="0.25">
      <c r="A43" s="2"/>
      <c r="B43" s="6" t="s">
        <v>25</v>
      </c>
      <c r="C43" t="s">
        <v>60</v>
      </c>
    </row>
    <row r="44" spans="1:4" x14ac:dyDescent="0.25">
      <c r="A44" s="2"/>
      <c r="B44" s="6" t="s">
        <v>168</v>
      </c>
      <c r="C44" t="s">
        <v>170</v>
      </c>
    </row>
    <row r="45" spans="1:4" x14ac:dyDescent="0.25">
      <c r="A45" s="2"/>
      <c r="B45" s="12" t="s">
        <v>92</v>
      </c>
      <c r="C45" s="4" t="s">
        <v>93</v>
      </c>
      <c r="D45" t="s">
        <v>87</v>
      </c>
    </row>
    <row r="46" spans="1:4" x14ac:dyDescent="0.25">
      <c r="A46" s="2"/>
      <c r="B46" s="12" t="s">
        <v>91</v>
      </c>
      <c r="C46" s="4" t="s">
        <v>94</v>
      </c>
      <c r="D46" t="s">
        <v>87</v>
      </c>
    </row>
    <row r="47" spans="1:4" x14ac:dyDescent="0.25">
      <c r="A47" s="2"/>
      <c r="B47" s="12" t="s">
        <v>331</v>
      </c>
      <c r="C47" s="4" t="s">
        <v>332</v>
      </c>
      <c r="D47" t="s">
        <v>90</v>
      </c>
    </row>
    <row r="48" spans="1:4" x14ac:dyDescent="0.25">
      <c r="A48" s="2"/>
      <c r="B48" s="12" t="s">
        <v>703</v>
      </c>
      <c r="C48" s="4" t="s">
        <v>704</v>
      </c>
    </row>
    <row r="49" spans="1:4" x14ac:dyDescent="0.25">
      <c r="A49" s="14"/>
      <c r="B49" s="1" t="s">
        <v>171</v>
      </c>
      <c r="C49" s="4" t="s">
        <v>488</v>
      </c>
    </row>
    <row r="50" spans="1:4" x14ac:dyDescent="0.25">
      <c r="A50" s="14"/>
      <c r="B50" s="1"/>
      <c r="C50" s="4"/>
    </row>
    <row r="51" spans="1:4" x14ac:dyDescent="0.25">
      <c r="A51" s="3"/>
      <c r="B51" s="1" t="s">
        <v>910</v>
      </c>
      <c r="C51" s="4" t="s">
        <v>1023</v>
      </c>
      <c r="D51" t="s">
        <v>1026</v>
      </c>
    </row>
    <row r="52" spans="1:4" x14ac:dyDescent="0.25">
      <c r="A52" s="3"/>
      <c r="B52" s="1" t="s">
        <v>911</v>
      </c>
      <c r="C52" s="4" t="s">
        <v>1024</v>
      </c>
      <c r="D52" t="s">
        <v>1026</v>
      </c>
    </row>
    <row r="53" spans="1:4" x14ac:dyDescent="0.25">
      <c r="A53" s="3"/>
      <c r="B53" s="1" t="s">
        <v>960</v>
      </c>
      <c r="C53" s="4" t="s">
        <v>1025</v>
      </c>
      <c r="D53" t="s">
        <v>1026</v>
      </c>
    </row>
    <row r="54" spans="1:4" x14ac:dyDescent="0.25">
      <c r="A54" s="3"/>
      <c r="B54" s="1" t="s">
        <v>14</v>
      </c>
      <c r="C54" t="s">
        <v>63</v>
      </c>
      <c r="D54" t="s">
        <v>87</v>
      </c>
    </row>
    <row r="55" spans="1:4" x14ac:dyDescent="0.25">
      <c r="A55" s="3" t="s">
        <v>44</v>
      </c>
      <c r="B55" s="1" t="s">
        <v>13</v>
      </c>
      <c r="C55" t="s">
        <v>62</v>
      </c>
      <c r="D55" t="s">
        <v>87</v>
      </c>
    </row>
    <row r="56" spans="1:4" x14ac:dyDescent="0.25">
      <c r="A56" s="3"/>
      <c r="B56" s="1" t="s">
        <v>934</v>
      </c>
      <c r="C56" t="s">
        <v>935</v>
      </c>
      <c r="D56" t="s">
        <v>87</v>
      </c>
    </row>
    <row r="57" spans="1:4" x14ac:dyDescent="0.25">
      <c r="A57" s="3"/>
      <c r="B57" s="1" t="s">
        <v>24</v>
      </c>
      <c r="C57" t="s">
        <v>65</v>
      </c>
    </row>
    <row r="58" spans="1:4" x14ac:dyDescent="0.25">
      <c r="A58" s="3"/>
      <c r="B58" s="1" t="s">
        <v>23</v>
      </c>
      <c r="C58" t="s">
        <v>64</v>
      </c>
    </row>
    <row r="59" spans="1:4" x14ac:dyDescent="0.25">
      <c r="A59" s="3"/>
      <c r="B59" s="1" t="s">
        <v>915</v>
      </c>
      <c r="C59" t="s">
        <v>936</v>
      </c>
    </row>
    <row r="60" spans="1:4" x14ac:dyDescent="0.25">
      <c r="A60" s="3"/>
      <c r="B60" s="1" t="s">
        <v>10</v>
      </c>
      <c r="C60" t="s">
        <v>1849</v>
      </c>
      <c r="D60" t="s">
        <v>90</v>
      </c>
    </row>
    <row r="61" spans="1:4" x14ac:dyDescent="0.25">
      <c r="A61" s="3"/>
      <c r="B61" s="1" t="s">
        <v>9</v>
      </c>
      <c r="C61" t="s">
        <v>1850</v>
      </c>
      <c r="D61" t="s">
        <v>90</v>
      </c>
    </row>
    <row r="62" spans="1:4" x14ac:dyDescent="0.25">
      <c r="A62" s="3"/>
      <c r="B62" s="1" t="s">
        <v>858</v>
      </c>
      <c r="C62" t="s">
        <v>937</v>
      </c>
      <c r="D62" t="s">
        <v>90</v>
      </c>
    </row>
    <row r="63" spans="1:4" x14ac:dyDescent="0.25">
      <c r="A63" s="3"/>
      <c r="B63" s="1" t="s">
        <v>270</v>
      </c>
      <c r="C63" t="s">
        <v>67</v>
      </c>
      <c r="D63" t="s">
        <v>183</v>
      </c>
    </row>
    <row r="64" spans="1:4" x14ac:dyDescent="0.25">
      <c r="A64" s="3"/>
      <c r="B64" s="1" t="s">
        <v>271</v>
      </c>
      <c r="C64" t="s">
        <v>66</v>
      </c>
      <c r="D64" t="s">
        <v>183</v>
      </c>
    </row>
    <row r="65" spans="1:8" x14ac:dyDescent="0.25">
      <c r="A65" s="3"/>
      <c r="B65" s="1" t="s">
        <v>859</v>
      </c>
      <c r="C65" t="s">
        <v>938</v>
      </c>
      <c r="D65" t="s">
        <v>183</v>
      </c>
      <c r="H65" s="20"/>
    </row>
    <row r="66" spans="1:8" x14ac:dyDescent="0.25">
      <c r="A66" s="3"/>
      <c r="B66" s="1" t="s">
        <v>20</v>
      </c>
      <c r="C66" t="s">
        <v>69</v>
      </c>
      <c r="D66" t="s">
        <v>183</v>
      </c>
    </row>
    <row r="67" spans="1:8" x14ac:dyDescent="0.25">
      <c r="A67" s="3"/>
      <c r="B67" s="1" t="s">
        <v>19</v>
      </c>
      <c r="C67" t="s">
        <v>68</v>
      </c>
      <c r="D67" t="s">
        <v>183</v>
      </c>
    </row>
    <row r="68" spans="1:8" x14ac:dyDescent="0.25">
      <c r="A68" s="3"/>
      <c r="B68" s="1" t="s">
        <v>860</v>
      </c>
      <c r="C68" t="s">
        <v>939</v>
      </c>
      <c r="D68" t="s">
        <v>183</v>
      </c>
    </row>
    <row r="69" spans="1:8" x14ac:dyDescent="0.25">
      <c r="A69" s="3"/>
      <c r="B69" s="1" t="s">
        <v>22</v>
      </c>
      <c r="C69" t="s">
        <v>71</v>
      </c>
      <c r="D69" t="s">
        <v>183</v>
      </c>
    </row>
    <row r="70" spans="1:8" x14ac:dyDescent="0.25">
      <c r="A70" s="3"/>
      <c r="B70" s="1" t="s">
        <v>21</v>
      </c>
      <c r="C70" t="s">
        <v>70</v>
      </c>
      <c r="D70" t="s">
        <v>183</v>
      </c>
    </row>
    <row r="71" spans="1:8" x14ac:dyDescent="0.25">
      <c r="A71" s="3"/>
      <c r="B71" s="1" t="s">
        <v>940</v>
      </c>
      <c r="C71" t="s">
        <v>941</v>
      </c>
      <c r="D71" t="s">
        <v>183</v>
      </c>
    </row>
    <row r="72" spans="1:8" x14ac:dyDescent="0.25">
      <c r="A72" s="3"/>
      <c r="B72" s="1" t="s">
        <v>12</v>
      </c>
      <c r="C72" t="s">
        <v>73</v>
      </c>
    </row>
    <row r="73" spans="1:8" x14ac:dyDescent="0.25">
      <c r="A73" s="3"/>
      <c r="B73" s="1" t="s">
        <v>11</v>
      </c>
      <c r="C73" t="s">
        <v>72</v>
      </c>
    </row>
    <row r="74" spans="1:8" x14ac:dyDescent="0.25">
      <c r="A74" s="3"/>
      <c r="B74" s="1" t="s">
        <v>918</v>
      </c>
      <c r="C74" t="s">
        <v>942</v>
      </c>
    </row>
    <row r="75" spans="1:8" x14ac:dyDescent="0.25">
      <c r="A75" s="3"/>
      <c r="B75" s="1" t="s">
        <v>32</v>
      </c>
      <c r="C75" t="s">
        <v>77</v>
      </c>
      <c r="D75" t="s">
        <v>185</v>
      </c>
    </row>
    <row r="76" spans="1:8" x14ac:dyDescent="0.25">
      <c r="A76" s="3"/>
      <c r="B76" s="1" t="s">
        <v>31</v>
      </c>
      <c r="C76" t="s">
        <v>76</v>
      </c>
      <c r="D76" t="s">
        <v>185</v>
      </c>
    </row>
    <row r="77" spans="1:8" x14ac:dyDescent="0.25">
      <c r="A77" s="3"/>
      <c r="B77" s="1" t="s">
        <v>921</v>
      </c>
      <c r="C77" t="s">
        <v>944</v>
      </c>
      <c r="D77" t="s">
        <v>185</v>
      </c>
    </row>
    <row r="78" spans="1:8" x14ac:dyDescent="0.25">
      <c r="A78" s="3"/>
      <c r="B78" s="1" t="s">
        <v>34</v>
      </c>
      <c r="C78" t="s">
        <v>1236</v>
      </c>
      <c r="D78" t="s">
        <v>1144</v>
      </c>
    </row>
    <row r="79" spans="1:8" x14ac:dyDescent="0.25">
      <c r="A79" s="3"/>
      <c r="B79" s="1" t="s">
        <v>33</v>
      </c>
      <c r="C79" t="s">
        <v>1237</v>
      </c>
    </row>
    <row r="80" spans="1:8" x14ac:dyDescent="0.25">
      <c r="A80" s="3"/>
      <c r="B80" s="1" t="s">
        <v>862</v>
      </c>
      <c r="C80" t="s">
        <v>1238</v>
      </c>
    </row>
    <row r="81" spans="1:4" x14ac:dyDescent="0.25">
      <c r="A81" s="3"/>
      <c r="B81" s="1" t="s">
        <v>36</v>
      </c>
      <c r="C81" t="s">
        <v>1239</v>
      </c>
    </row>
    <row r="82" spans="1:4" x14ac:dyDescent="0.25">
      <c r="A82" s="3"/>
      <c r="B82" s="1" t="s">
        <v>35</v>
      </c>
      <c r="C82" t="s">
        <v>114</v>
      </c>
    </row>
    <row r="83" spans="1:4" x14ac:dyDescent="0.25">
      <c r="A83" s="3"/>
      <c r="B83" s="1" t="s">
        <v>922</v>
      </c>
      <c r="C83" t="s">
        <v>945</v>
      </c>
    </row>
    <row r="84" spans="1:4" x14ac:dyDescent="0.25">
      <c r="A84" s="3"/>
      <c r="B84" s="1" t="s">
        <v>28</v>
      </c>
      <c r="C84" t="s">
        <v>75</v>
      </c>
      <c r="D84" t="s">
        <v>514</v>
      </c>
    </row>
    <row r="85" spans="1:4" x14ac:dyDescent="0.25">
      <c r="A85" s="3"/>
      <c r="B85" s="1" t="s">
        <v>27</v>
      </c>
      <c r="C85" t="s">
        <v>74</v>
      </c>
      <c r="D85" t="s">
        <v>514</v>
      </c>
    </row>
    <row r="86" spans="1:4" x14ac:dyDescent="0.25">
      <c r="A86" s="3"/>
      <c r="B86" s="1" t="s">
        <v>861</v>
      </c>
      <c r="C86" t="s">
        <v>943</v>
      </c>
      <c r="D86" t="s">
        <v>514</v>
      </c>
    </row>
    <row r="87" spans="1:4" x14ac:dyDescent="0.25">
      <c r="A87" s="3"/>
      <c r="B87" s="1" t="s">
        <v>1052</v>
      </c>
      <c r="C87" t="s">
        <v>1055</v>
      </c>
    </row>
    <row r="88" spans="1:4" x14ac:dyDescent="0.25">
      <c r="A88" s="3"/>
      <c r="B88" s="1" t="s">
        <v>1053</v>
      </c>
      <c r="C88" t="s">
        <v>1056</v>
      </c>
    </row>
    <row r="89" spans="1:4" x14ac:dyDescent="0.25">
      <c r="A89" s="3"/>
      <c r="B89" s="1" t="s">
        <v>1054</v>
      </c>
      <c r="C89" t="s">
        <v>1057</v>
      </c>
    </row>
    <row r="90" spans="1:4" x14ac:dyDescent="0.25">
      <c r="A90" s="3"/>
      <c r="B90" s="1" t="s">
        <v>30</v>
      </c>
      <c r="C90" t="s">
        <v>983</v>
      </c>
      <c r="D90" t="s">
        <v>1162</v>
      </c>
    </row>
    <row r="91" spans="1:4" x14ac:dyDescent="0.25">
      <c r="A91" s="3"/>
      <c r="B91" s="1" t="s">
        <v>29</v>
      </c>
      <c r="C91" t="s">
        <v>984</v>
      </c>
      <c r="D91" t="s">
        <v>1162</v>
      </c>
    </row>
    <row r="92" spans="1:4" x14ac:dyDescent="0.25">
      <c r="A92" s="3"/>
      <c r="B92" s="1" t="s">
        <v>920</v>
      </c>
      <c r="C92" t="s">
        <v>985</v>
      </c>
      <c r="D92" t="s">
        <v>1162</v>
      </c>
    </row>
    <row r="93" spans="1:4" x14ac:dyDescent="0.25">
      <c r="A93" s="3"/>
      <c r="B93" s="1" t="s">
        <v>42</v>
      </c>
      <c r="C93" t="s">
        <v>980</v>
      </c>
      <c r="D93" t="s">
        <v>699</v>
      </c>
    </row>
    <row r="94" spans="1:4" x14ac:dyDescent="0.25">
      <c r="A94" s="3"/>
      <c r="B94" s="1" t="s">
        <v>41</v>
      </c>
      <c r="C94" t="s">
        <v>981</v>
      </c>
      <c r="D94" t="s">
        <v>699</v>
      </c>
    </row>
    <row r="95" spans="1:4" x14ac:dyDescent="0.25">
      <c r="A95" s="3"/>
      <c r="B95" s="1" t="s">
        <v>863</v>
      </c>
      <c r="C95" t="s">
        <v>982</v>
      </c>
      <c r="D95" t="s">
        <v>699</v>
      </c>
    </row>
    <row r="96" spans="1:4" x14ac:dyDescent="0.25">
      <c r="A96" s="3"/>
      <c r="B96" s="1" t="s">
        <v>118</v>
      </c>
      <c r="C96" t="s">
        <v>136</v>
      </c>
      <c r="D96" t="s">
        <v>355</v>
      </c>
    </row>
    <row r="97" spans="1:5" x14ac:dyDescent="0.25">
      <c r="A97" s="3"/>
      <c r="B97" s="1" t="s">
        <v>117</v>
      </c>
      <c r="C97" t="s">
        <v>135</v>
      </c>
      <c r="D97" t="s">
        <v>355</v>
      </c>
    </row>
    <row r="98" spans="1:5" x14ac:dyDescent="0.25">
      <c r="A98" s="3"/>
      <c r="B98" s="1" t="s">
        <v>924</v>
      </c>
      <c r="C98" t="s">
        <v>947</v>
      </c>
      <c r="D98" t="s">
        <v>355</v>
      </c>
    </row>
    <row r="99" spans="1:5" x14ac:dyDescent="0.25">
      <c r="A99" s="3"/>
      <c r="B99" s="1" t="s">
        <v>1163</v>
      </c>
      <c r="C99" t="s">
        <v>1166</v>
      </c>
    </row>
    <row r="100" spans="1:5" x14ac:dyDescent="0.25">
      <c r="A100" s="3"/>
      <c r="B100" s="1" t="s">
        <v>1164</v>
      </c>
      <c r="C100" t="s">
        <v>1167</v>
      </c>
    </row>
    <row r="101" spans="1:5" x14ac:dyDescent="0.25">
      <c r="A101" s="3"/>
      <c r="B101" s="1" t="s">
        <v>1165</v>
      </c>
      <c r="C101" t="s">
        <v>1168</v>
      </c>
    </row>
    <row r="102" spans="1:5" x14ac:dyDescent="0.25">
      <c r="A102" s="3"/>
      <c r="B102" s="1" t="s">
        <v>1124</v>
      </c>
      <c r="C102" t="s">
        <v>1533</v>
      </c>
      <c r="D102" t="s">
        <v>203</v>
      </c>
      <c r="E102" t="s">
        <v>365</v>
      </c>
    </row>
    <row r="103" spans="1:5" x14ac:dyDescent="0.25">
      <c r="A103" s="3"/>
      <c r="B103" s="1" t="s">
        <v>1125</v>
      </c>
      <c r="C103" t="s">
        <v>1534</v>
      </c>
      <c r="D103" t="s">
        <v>203</v>
      </c>
      <c r="E103" t="s">
        <v>365</v>
      </c>
    </row>
    <row r="104" spans="1:5" x14ac:dyDescent="0.25">
      <c r="A104" s="3"/>
      <c r="B104" s="1" t="s">
        <v>1126</v>
      </c>
      <c r="C104" t="s">
        <v>948</v>
      </c>
      <c r="D104" t="s">
        <v>203</v>
      </c>
      <c r="E104" t="s">
        <v>365</v>
      </c>
    </row>
    <row r="105" spans="1:5" x14ac:dyDescent="0.25">
      <c r="A105" s="3"/>
      <c r="B105" s="1" t="s">
        <v>1129</v>
      </c>
      <c r="C105" t="s">
        <v>1535</v>
      </c>
    </row>
    <row r="106" spans="1:5" x14ac:dyDescent="0.25">
      <c r="A106" s="3"/>
      <c r="B106" s="1" t="s">
        <v>1127</v>
      </c>
      <c r="C106" t="s">
        <v>1536</v>
      </c>
    </row>
    <row r="107" spans="1:5" x14ac:dyDescent="0.25">
      <c r="A107" s="3"/>
      <c r="B107" s="1" t="s">
        <v>1128</v>
      </c>
      <c r="C107" t="s">
        <v>857</v>
      </c>
    </row>
    <row r="108" spans="1:5" x14ac:dyDescent="0.25">
      <c r="A108" s="3"/>
      <c r="B108" s="1" t="s">
        <v>80</v>
      </c>
      <c r="C108" t="s">
        <v>84</v>
      </c>
    </row>
    <row r="109" spans="1:5" x14ac:dyDescent="0.25">
      <c r="A109" s="3"/>
      <c r="B109" s="1" t="s">
        <v>81</v>
      </c>
      <c r="C109" t="s">
        <v>85</v>
      </c>
    </row>
    <row r="110" spans="1:5" x14ac:dyDescent="0.25">
      <c r="A110" s="3"/>
      <c r="B110" s="1" t="s">
        <v>925</v>
      </c>
      <c r="C110" t="s">
        <v>949</v>
      </c>
    </row>
    <row r="111" spans="1:5" x14ac:dyDescent="0.25">
      <c r="A111" s="3"/>
      <c r="B111" s="1" t="s">
        <v>82</v>
      </c>
      <c r="C111" t="s">
        <v>1537</v>
      </c>
      <c r="D111" t="s">
        <v>205</v>
      </c>
    </row>
    <row r="112" spans="1:5" x14ac:dyDescent="0.25">
      <c r="A112" s="3"/>
      <c r="B112" s="1" t="s">
        <v>83</v>
      </c>
      <c r="C112" t="s">
        <v>1538</v>
      </c>
      <c r="D112" t="s">
        <v>205</v>
      </c>
    </row>
    <row r="113" spans="1:8" x14ac:dyDescent="0.25">
      <c r="A113" s="3"/>
      <c r="B113" s="1" t="s">
        <v>926</v>
      </c>
      <c r="C113" t="s">
        <v>951</v>
      </c>
      <c r="D113" t="s">
        <v>205</v>
      </c>
    </row>
    <row r="114" spans="1:8" x14ac:dyDescent="0.25">
      <c r="A114" s="3"/>
      <c r="B114" s="1" t="s">
        <v>40</v>
      </c>
      <c r="C114" t="s">
        <v>79</v>
      </c>
      <c r="D114" t="s">
        <v>464</v>
      </c>
      <c r="E114" s="1">
        <f>1/3*100</f>
        <v>33.333333333333329</v>
      </c>
      <c r="F114" s="1">
        <f>15*100</f>
        <v>1500</v>
      </c>
      <c r="G114" s="1" t="s">
        <v>978</v>
      </c>
      <c r="H114" s="1"/>
    </row>
    <row r="115" spans="1:8" x14ac:dyDescent="0.25">
      <c r="A115" s="3"/>
      <c r="B115" s="1" t="s">
        <v>39</v>
      </c>
      <c r="C115" t="s">
        <v>78</v>
      </c>
      <c r="D115" t="s">
        <v>464</v>
      </c>
    </row>
    <row r="116" spans="1:8" x14ac:dyDescent="0.25">
      <c r="A116" s="3"/>
      <c r="B116" s="1" t="s">
        <v>923</v>
      </c>
      <c r="C116" t="s">
        <v>946</v>
      </c>
      <c r="D116" t="s">
        <v>464</v>
      </c>
    </row>
    <row r="117" spans="1:8" x14ac:dyDescent="0.25">
      <c r="A117" s="19"/>
      <c r="B117" s="1" t="s">
        <v>175</v>
      </c>
      <c r="C117" t="s">
        <v>177</v>
      </c>
      <c r="D117" t="s">
        <v>818</v>
      </c>
    </row>
    <row r="118" spans="1:8" x14ac:dyDescent="0.25">
      <c r="A118" s="19"/>
      <c r="B118" s="1" t="s">
        <v>174</v>
      </c>
      <c r="C118" t="s">
        <v>176</v>
      </c>
      <c r="D118" t="s">
        <v>818</v>
      </c>
    </row>
    <row r="119" spans="1:8" x14ac:dyDescent="0.25">
      <c r="A119" s="19"/>
      <c r="B119" s="1" t="s">
        <v>927</v>
      </c>
      <c r="C119" t="s">
        <v>950</v>
      </c>
      <c r="D119" t="s">
        <v>818</v>
      </c>
    </row>
    <row r="120" spans="1:8" x14ac:dyDescent="0.25">
      <c r="A120" s="19"/>
      <c r="B120" s="1" t="s">
        <v>407</v>
      </c>
      <c r="C120" t="s">
        <v>815</v>
      </c>
    </row>
    <row r="121" spans="1:8" x14ac:dyDescent="0.25">
      <c r="A121" s="19"/>
      <c r="B121" s="1" t="s">
        <v>406</v>
      </c>
      <c r="C121" t="s">
        <v>814</v>
      </c>
    </row>
    <row r="122" spans="1:8" x14ac:dyDescent="0.25">
      <c r="A122" s="19"/>
      <c r="B122" s="1" t="s">
        <v>928</v>
      </c>
      <c r="C122" t="s">
        <v>952</v>
      </c>
    </row>
    <row r="123" spans="1:8" x14ac:dyDescent="0.25">
      <c r="A123" s="19"/>
      <c r="B123" s="1" t="s">
        <v>906</v>
      </c>
      <c r="C123" t="s">
        <v>1240</v>
      </c>
      <c r="D123" t="s">
        <v>1605</v>
      </c>
    </row>
    <row r="124" spans="1:8" x14ac:dyDescent="0.25">
      <c r="A124" s="19"/>
      <c r="B124" s="1" t="s">
        <v>904</v>
      </c>
      <c r="C124" t="s">
        <v>1241</v>
      </c>
      <c r="D124" t="s">
        <v>1605</v>
      </c>
    </row>
    <row r="125" spans="1:8" x14ac:dyDescent="0.25">
      <c r="A125" s="19"/>
      <c r="B125" s="1" t="s">
        <v>905</v>
      </c>
      <c r="C125" t="s">
        <v>1242</v>
      </c>
      <c r="D125" t="s">
        <v>1605</v>
      </c>
    </row>
    <row r="126" spans="1:8" x14ac:dyDescent="0.25">
      <c r="A126" s="19"/>
      <c r="B126" s="1" t="s">
        <v>120</v>
      </c>
      <c r="C126" t="s">
        <v>1844</v>
      </c>
      <c r="D126" t="s">
        <v>466</v>
      </c>
    </row>
    <row r="127" spans="1:8" x14ac:dyDescent="0.25">
      <c r="A127" s="19"/>
      <c r="B127" s="1" t="s">
        <v>119</v>
      </c>
      <c r="C127" t="s">
        <v>1845</v>
      </c>
      <c r="D127" t="s">
        <v>466</v>
      </c>
    </row>
    <row r="128" spans="1:8" x14ac:dyDescent="0.25">
      <c r="A128" s="19"/>
      <c r="B128" s="1" t="s">
        <v>929</v>
      </c>
      <c r="C128" t="s">
        <v>953</v>
      </c>
      <c r="D128" t="s">
        <v>466</v>
      </c>
    </row>
    <row r="129" spans="1:4" x14ac:dyDescent="0.25">
      <c r="A129" s="19"/>
      <c r="B129" s="1" t="s">
        <v>122</v>
      </c>
      <c r="C129" t="s">
        <v>1846</v>
      </c>
      <c r="D129" t="s">
        <v>713</v>
      </c>
    </row>
    <row r="130" spans="1:4" x14ac:dyDescent="0.25">
      <c r="A130" s="19"/>
      <c r="B130" s="1" t="s">
        <v>121</v>
      </c>
      <c r="C130" t="s">
        <v>1847</v>
      </c>
      <c r="D130" t="s">
        <v>713</v>
      </c>
    </row>
    <row r="131" spans="1:4" x14ac:dyDescent="0.25">
      <c r="A131" s="19"/>
      <c r="B131" s="1" t="s">
        <v>933</v>
      </c>
      <c r="C131" t="s">
        <v>954</v>
      </c>
      <c r="D131" t="s">
        <v>713</v>
      </c>
    </row>
    <row r="132" spans="1:4" x14ac:dyDescent="0.25">
      <c r="A132" s="19"/>
      <c r="B132" s="1" t="s">
        <v>1522</v>
      </c>
      <c r="C132" t="s">
        <v>1539</v>
      </c>
    </row>
    <row r="133" spans="1:4" x14ac:dyDescent="0.25">
      <c r="A133" s="19"/>
      <c r="B133" s="1" t="s">
        <v>1523</v>
      </c>
      <c r="C133" t="s">
        <v>1540</v>
      </c>
    </row>
    <row r="134" spans="1:4" x14ac:dyDescent="0.25">
      <c r="A134" s="19"/>
      <c r="B134" s="1" t="s">
        <v>1541</v>
      </c>
      <c r="C134" t="s">
        <v>1542</v>
      </c>
    </row>
    <row r="135" spans="1:4" x14ac:dyDescent="0.25">
      <c r="A135" s="19"/>
      <c r="B135" s="1" t="s">
        <v>124</v>
      </c>
      <c r="C135" t="s">
        <v>130</v>
      </c>
    </row>
    <row r="136" spans="1:4" x14ac:dyDescent="0.25">
      <c r="A136" s="19"/>
      <c r="B136" s="1" t="s">
        <v>123</v>
      </c>
      <c r="C136" t="s">
        <v>128</v>
      </c>
    </row>
    <row r="137" spans="1:4" x14ac:dyDescent="0.25">
      <c r="A137" s="19"/>
      <c r="B137" s="1" t="s">
        <v>930</v>
      </c>
      <c r="C137" t="s">
        <v>129</v>
      </c>
    </row>
    <row r="138" spans="1:4" x14ac:dyDescent="0.25">
      <c r="A138" s="19"/>
      <c r="B138" s="1" t="s">
        <v>126</v>
      </c>
      <c r="C138" t="s">
        <v>132</v>
      </c>
      <c r="D138" t="s">
        <v>220</v>
      </c>
    </row>
    <row r="139" spans="1:4" x14ac:dyDescent="0.25">
      <c r="A139" s="19"/>
      <c r="B139" s="1" t="s">
        <v>125</v>
      </c>
      <c r="C139" t="s">
        <v>131</v>
      </c>
      <c r="D139" t="s">
        <v>220</v>
      </c>
    </row>
    <row r="140" spans="1:4" x14ac:dyDescent="0.25">
      <c r="A140" s="19"/>
      <c r="B140" s="1" t="s">
        <v>931</v>
      </c>
      <c r="C140" t="s">
        <v>955</v>
      </c>
      <c r="D140" t="s">
        <v>220</v>
      </c>
    </row>
    <row r="141" spans="1:4" x14ac:dyDescent="0.25">
      <c r="A141" s="19"/>
      <c r="B141" s="1" t="s">
        <v>1525</v>
      </c>
      <c r="C141" t="s">
        <v>1543</v>
      </c>
    </row>
    <row r="142" spans="1:4" x14ac:dyDescent="0.25">
      <c r="A142" s="19"/>
      <c r="B142" s="1" t="s">
        <v>1526</v>
      </c>
      <c r="C142" t="s">
        <v>1544</v>
      </c>
    </row>
    <row r="143" spans="1:4" x14ac:dyDescent="0.25">
      <c r="A143" s="19"/>
      <c r="B143" s="1" t="s">
        <v>1545</v>
      </c>
      <c r="C143" t="s">
        <v>1546</v>
      </c>
    </row>
    <row r="144" spans="1:4" x14ac:dyDescent="0.25">
      <c r="A144" s="19"/>
      <c r="B144" s="1" t="s">
        <v>1528</v>
      </c>
      <c r="C144" t="s">
        <v>1547</v>
      </c>
    </row>
    <row r="145" spans="1:4" x14ac:dyDescent="0.25">
      <c r="A145" s="19"/>
      <c r="B145" s="1" t="s">
        <v>1529</v>
      </c>
      <c r="C145" t="s">
        <v>1548</v>
      </c>
    </row>
    <row r="146" spans="1:4" x14ac:dyDescent="0.25">
      <c r="A146" s="19"/>
      <c r="B146" s="1" t="s">
        <v>1549</v>
      </c>
      <c r="C146" t="s">
        <v>1550</v>
      </c>
    </row>
    <row r="147" spans="1:4" x14ac:dyDescent="0.25">
      <c r="A147" s="19"/>
      <c r="B147" s="1" t="s">
        <v>182</v>
      </c>
      <c r="C147" t="s">
        <v>134</v>
      </c>
      <c r="D147" t="s">
        <v>183</v>
      </c>
    </row>
    <row r="148" spans="1:4" x14ac:dyDescent="0.25">
      <c r="A148" s="19"/>
      <c r="B148" s="1" t="s">
        <v>127</v>
      </c>
      <c r="C148" t="s">
        <v>133</v>
      </c>
      <c r="D148" t="s">
        <v>183</v>
      </c>
    </row>
    <row r="149" spans="1:4" x14ac:dyDescent="0.25">
      <c r="A149" s="19"/>
      <c r="B149" s="1" t="s">
        <v>932</v>
      </c>
      <c r="C149" t="s">
        <v>956</v>
      </c>
      <c r="D149" t="s">
        <v>183</v>
      </c>
    </row>
    <row r="150" spans="1:4" x14ac:dyDescent="0.25">
      <c r="A150" s="19"/>
      <c r="B150" s="1" t="s">
        <v>1243</v>
      </c>
      <c r="C150" t="s">
        <v>1246</v>
      </c>
      <c r="D150" t="s">
        <v>183</v>
      </c>
    </row>
    <row r="151" spans="1:4" x14ac:dyDescent="0.25">
      <c r="A151" s="19"/>
      <c r="B151" s="1" t="s">
        <v>1244</v>
      </c>
      <c r="C151" t="s">
        <v>1247</v>
      </c>
      <c r="D151" t="s">
        <v>183</v>
      </c>
    </row>
    <row r="152" spans="1:4" x14ac:dyDescent="0.25">
      <c r="A152" s="19"/>
      <c r="B152" s="1" t="s">
        <v>1245</v>
      </c>
      <c r="C152" t="s">
        <v>1248</v>
      </c>
      <c r="D152" t="s">
        <v>183</v>
      </c>
    </row>
    <row r="153" spans="1:4" s="14" customFormat="1" x14ac:dyDescent="0.25">
      <c r="A153" s="19"/>
      <c r="B153" s="15" t="s">
        <v>1307</v>
      </c>
      <c r="C153" s="14" t="s">
        <v>1308</v>
      </c>
    </row>
    <row r="154" spans="1:4" x14ac:dyDescent="0.25">
      <c r="A154" s="19"/>
      <c r="B154" s="1" t="s">
        <v>1532</v>
      </c>
      <c r="C154" t="s">
        <v>1551</v>
      </c>
    </row>
    <row r="155" spans="1:4" x14ac:dyDescent="0.25">
      <c r="A155" s="19"/>
      <c r="B155" s="1" t="s">
        <v>1531</v>
      </c>
      <c r="C155" t="s">
        <v>1552</v>
      </c>
    </row>
    <row r="156" spans="1:4" x14ac:dyDescent="0.25">
      <c r="A156" s="13"/>
      <c r="B156" s="1" t="s">
        <v>957</v>
      </c>
      <c r="C156" t="s">
        <v>958</v>
      </c>
    </row>
    <row r="157" spans="1:4" x14ac:dyDescent="0.25">
      <c r="A157" s="13"/>
      <c r="B157" s="1" t="s">
        <v>802</v>
      </c>
      <c r="C157" t="s">
        <v>810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28" workbookViewId="0">
      <selection activeCell="N35" sqref="N35"/>
    </sheetView>
  </sheetViews>
  <sheetFormatPr defaultRowHeight="15" x14ac:dyDescent="0.25"/>
  <cols>
    <col min="2" max="2" width="22.42578125" customWidth="1"/>
    <col min="3" max="3" width="15.85546875" style="34" bestFit="1" customWidth="1"/>
    <col min="4" max="4" width="9.28515625" style="34" bestFit="1" customWidth="1"/>
    <col min="5" max="5" width="12.42578125" style="34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32"/>
      <c r="D1" s="32"/>
      <c r="E1" s="32"/>
      <c r="F1" s="5"/>
      <c r="G1" s="5"/>
      <c r="H1" s="5"/>
    </row>
    <row r="2" spans="2:8" x14ac:dyDescent="0.25">
      <c r="B2" s="5"/>
      <c r="C2" s="32"/>
      <c r="D2" s="32"/>
      <c r="E2" s="32"/>
      <c r="F2" s="5"/>
      <c r="G2" s="5"/>
      <c r="H2" s="5"/>
    </row>
    <row r="3" spans="2:8" x14ac:dyDescent="0.25">
      <c r="B3" s="6" t="s">
        <v>106</v>
      </c>
      <c r="C3" s="32"/>
      <c r="D3" s="32"/>
      <c r="E3" s="32"/>
      <c r="F3" s="5"/>
      <c r="G3" s="5"/>
      <c r="H3" s="5"/>
    </row>
    <row r="4" spans="2:8" x14ac:dyDescent="0.25">
      <c r="B4" s="8" t="s">
        <v>103</v>
      </c>
      <c r="C4" s="33" t="s">
        <v>95</v>
      </c>
      <c r="D4" s="33" t="s">
        <v>96</v>
      </c>
      <c r="E4" s="33" t="s">
        <v>97</v>
      </c>
      <c r="F4" s="8" t="s">
        <v>43</v>
      </c>
      <c r="G4" s="5"/>
      <c r="H4" s="5"/>
    </row>
    <row r="5" spans="2:8" x14ac:dyDescent="0.25">
      <c r="B5" s="9" t="s">
        <v>98</v>
      </c>
      <c r="C5" s="28" t="s">
        <v>99</v>
      </c>
      <c r="D5" s="28">
        <v>1</v>
      </c>
      <c r="E5" s="28" t="s">
        <v>100</v>
      </c>
      <c r="F5" s="5" t="s">
        <v>108</v>
      </c>
      <c r="G5" s="5"/>
      <c r="H5" s="5"/>
    </row>
    <row r="6" spans="2:8" x14ac:dyDescent="0.25">
      <c r="B6" s="9" t="s">
        <v>101</v>
      </c>
      <c r="C6" s="28" t="s">
        <v>99</v>
      </c>
      <c r="D6" s="28">
        <v>1</v>
      </c>
      <c r="E6" s="28" t="s">
        <v>100</v>
      </c>
      <c r="F6" s="5" t="s">
        <v>115</v>
      </c>
      <c r="G6" s="5"/>
      <c r="H6" s="5"/>
    </row>
    <row r="7" spans="2:8" x14ac:dyDescent="0.25">
      <c r="B7" s="9" t="s">
        <v>756</v>
      </c>
      <c r="C7" s="28">
        <f>100/300</f>
        <v>0.33333333333333331</v>
      </c>
      <c r="D7" s="28"/>
      <c r="E7" s="28"/>
      <c r="F7" s="5" t="s">
        <v>800</v>
      </c>
      <c r="G7" s="5" t="s">
        <v>525</v>
      </c>
      <c r="H7" s="5"/>
    </row>
    <row r="8" spans="2:8" x14ac:dyDescent="0.25">
      <c r="B8" s="9"/>
      <c r="C8" s="28"/>
      <c r="D8" s="28"/>
      <c r="E8" s="28"/>
      <c r="F8" s="5"/>
      <c r="G8" s="5"/>
      <c r="H8" s="5"/>
    </row>
    <row r="9" spans="2:8" x14ac:dyDescent="0.25">
      <c r="B9" s="9" t="s">
        <v>218</v>
      </c>
      <c r="C9" s="28"/>
      <c r="D9" s="28"/>
      <c r="E9" s="28"/>
      <c r="F9" s="5"/>
      <c r="G9" s="5"/>
      <c r="H9" s="5"/>
    </row>
    <row r="10" spans="2:8" x14ac:dyDescent="0.25">
      <c r="B10" s="5"/>
      <c r="C10" s="32"/>
      <c r="D10" s="32"/>
      <c r="E10" s="32"/>
      <c r="F10" s="5"/>
      <c r="G10" s="5"/>
      <c r="H10" s="5"/>
    </row>
    <row r="11" spans="2:8" x14ac:dyDescent="0.25">
      <c r="B11" s="5"/>
      <c r="C11" s="32"/>
      <c r="D11" s="32"/>
      <c r="E11" s="32"/>
      <c r="F11" s="5"/>
      <c r="G11" s="5"/>
      <c r="H11" s="5"/>
    </row>
    <row r="12" spans="2:8" x14ac:dyDescent="0.25">
      <c r="B12" s="5"/>
      <c r="C12" s="32"/>
      <c r="D12" s="32"/>
      <c r="E12" s="32"/>
      <c r="F12" s="5"/>
      <c r="G12" s="5"/>
      <c r="H12" s="5"/>
    </row>
    <row r="13" spans="2:8" x14ac:dyDescent="0.25">
      <c r="B13" s="6" t="s">
        <v>107</v>
      </c>
      <c r="C13" s="32"/>
      <c r="D13" s="32"/>
      <c r="E13" s="32"/>
      <c r="F13" s="5"/>
      <c r="G13" s="5"/>
      <c r="H13" s="5"/>
    </row>
    <row r="14" spans="2:8" x14ac:dyDescent="0.25">
      <c r="B14" s="8" t="s">
        <v>103</v>
      </c>
      <c r="C14" s="33" t="s">
        <v>95</v>
      </c>
      <c r="D14" s="33" t="s">
        <v>102</v>
      </c>
      <c r="E14" s="33" t="s">
        <v>98</v>
      </c>
      <c r="F14" s="8" t="s">
        <v>43</v>
      </c>
      <c r="G14" s="5"/>
      <c r="H14" s="5"/>
    </row>
    <row r="15" spans="2:8" x14ac:dyDescent="0.25">
      <c r="B15" s="9" t="s">
        <v>104</v>
      </c>
      <c r="C15" s="28">
        <v>1</v>
      </c>
      <c r="D15" s="28">
        <v>1</v>
      </c>
      <c r="E15" s="28">
        <v>1</v>
      </c>
      <c r="F15" s="5" t="s">
        <v>105</v>
      </c>
      <c r="G15" s="5"/>
      <c r="H15" s="5"/>
    </row>
    <row r="16" spans="2:8" x14ac:dyDescent="0.25">
      <c r="B16" s="9"/>
      <c r="C16" s="28"/>
      <c r="D16" s="28"/>
      <c r="E16" s="28"/>
      <c r="F16" s="5"/>
      <c r="G16" s="5"/>
      <c r="H16" s="5"/>
    </row>
    <row r="17" spans="2:17" x14ac:dyDescent="0.25">
      <c r="B17" s="9"/>
      <c r="C17" s="28"/>
      <c r="D17" s="28"/>
      <c r="E17" s="28"/>
      <c r="F17" s="5"/>
      <c r="G17" s="5"/>
      <c r="H17" s="5"/>
    </row>
    <row r="18" spans="2:17" x14ac:dyDescent="0.25">
      <c r="B18" s="9" t="s">
        <v>109</v>
      </c>
      <c r="C18" s="28"/>
      <c r="D18" s="28"/>
      <c r="E18" s="28"/>
      <c r="F18" s="5"/>
      <c r="G18" s="5"/>
      <c r="H18" s="5"/>
    </row>
    <row r="21" spans="2:17" x14ac:dyDescent="0.25">
      <c r="B21" s="1" t="s">
        <v>1626</v>
      </c>
    </row>
    <row r="22" spans="2:17" x14ac:dyDescent="0.25">
      <c r="B22" s="8" t="s">
        <v>103</v>
      </c>
      <c r="C22" s="33" t="s">
        <v>95</v>
      </c>
      <c r="D22" s="33" t="s">
        <v>102</v>
      </c>
      <c r="E22" s="33" t="s">
        <v>214</v>
      </c>
      <c r="F22" s="8" t="s">
        <v>43</v>
      </c>
      <c r="G22" s="5"/>
      <c r="M22" s="142"/>
      <c r="N22" s="141"/>
      <c r="O22" s="141"/>
      <c r="P22" s="141"/>
      <c r="Q22" s="143"/>
    </row>
    <row r="23" spans="2:17" x14ac:dyDescent="0.25">
      <c r="B23" s="9" t="s">
        <v>213</v>
      </c>
      <c r="C23" s="28">
        <v>10</v>
      </c>
      <c r="D23" s="28">
        <v>1</v>
      </c>
      <c r="E23" s="28">
        <f>C23*D23</f>
        <v>10</v>
      </c>
      <c r="F23" s="5" t="s">
        <v>215</v>
      </c>
      <c r="G23" s="5"/>
      <c r="M23" s="144"/>
      <c r="N23" s="145"/>
      <c r="O23" s="145"/>
      <c r="P23" s="145"/>
      <c r="Q23" s="143"/>
    </row>
    <row r="24" spans="2:17" x14ac:dyDescent="0.25">
      <c r="B24" s="9" t="s">
        <v>216</v>
      </c>
      <c r="C24" s="28">
        <v>1000</v>
      </c>
      <c r="D24" s="28">
        <v>1</v>
      </c>
      <c r="E24" s="28">
        <f>C24*D24</f>
        <v>1000</v>
      </c>
      <c r="F24" s="5" t="s">
        <v>217</v>
      </c>
      <c r="G24" s="5"/>
      <c r="M24" s="140"/>
      <c r="N24" s="146"/>
      <c r="O24" s="146"/>
      <c r="P24" s="146"/>
      <c r="Q24" s="143"/>
    </row>
    <row r="25" spans="2:17" x14ac:dyDescent="0.25">
      <c r="B25" s="9" t="s">
        <v>245</v>
      </c>
      <c r="C25" s="28">
        <v>1000</v>
      </c>
      <c r="D25" s="28">
        <v>1</v>
      </c>
      <c r="E25" s="28">
        <f>C25*D25</f>
        <v>1000</v>
      </c>
      <c r="F25" s="5"/>
      <c r="G25" s="5"/>
      <c r="M25" s="140"/>
      <c r="N25" s="146"/>
      <c r="O25" s="146"/>
      <c r="P25" s="146"/>
      <c r="Q25" s="143"/>
    </row>
    <row r="26" spans="2:17" x14ac:dyDescent="0.25">
      <c r="B26" s="9" t="s">
        <v>1627</v>
      </c>
      <c r="C26" s="28">
        <f>0.4536/0.4047</f>
        <v>1.1208302446256486</v>
      </c>
      <c r="D26" s="28">
        <v>1</v>
      </c>
      <c r="E26" s="28"/>
      <c r="F26" s="5" t="s">
        <v>1628</v>
      </c>
      <c r="G26" s="5"/>
      <c r="H26" t="s">
        <v>1629</v>
      </c>
      <c r="M26" s="140"/>
      <c r="N26" s="146"/>
      <c r="O26" s="146"/>
      <c r="P26" s="146"/>
      <c r="Q26" s="143"/>
    </row>
    <row r="27" spans="2:17" x14ac:dyDescent="0.25">
      <c r="B27" s="9"/>
      <c r="C27" s="28"/>
      <c r="D27" s="28"/>
      <c r="E27" s="28"/>
      <c r="F27" s="5"/>
      <c r="G27" s="5"/>
      <c r="M27" s="140"/>
      <c r="N27" s="146"/>
      <c r="O27" s="146"/>
      <c r="P27" s="146"/>
      <c r="Q27" s="143"/>
    </row>
    <row r="28" spans="2:17" x14ac:dyDescent="0.25">
      <c r="B28" s="9" t="s">
        <v>218</v>
      </c>
      <c r="C28" s="45"/>
      <c r="D28" s="45"/>
      <c r="E28" s="45"/>
      <c r="M28" s="140"/>
      <c r="N28" s="146"/>
      <c r="O28" s="146"/>
      <c r="P28" s="146"/>
      <c r="Q28" s="143"/>
    </row>
    <row r="29" spans="2:17" x14ac:dyDescent="0.25">
      <c r="B29" s="140"/>
      <c r="C29" s="141"/>
      <c r="D29" s="141"/>
      <c r="E29" s="141"/>
      <c r="M29" s="140"/>
      <c r="N29" s="146"/>
      <c r="O29" s="146"/>
      <c r="P29" s="146"/>
      <c r="Q29" s="143"/>
    </row>
    <row r="30" spans="2:17" x14ac:dyDescent="0.25">
      <c r="B30" s="21"/>
      <c r="M30" s="143"/>
      <c r="N30" s="143"/>
      <c r="O30" s="143"/>
      <c r="P30" s="143"/>
      <c r="Q30" s="143"/>
    </row>
    <row r="32" spans="2:17" x14ac:dyDescent="0.25">
      <c r="B32" s="1" t="s">
        <v>195</v>
      </c>
    </row>
    <row r="33" spans="2:15" x14ac:dyDescent="0.25">
      <c r="B33" s="8" t="s">
        <v>103</v>
      </c>
      <c r="C33" s="33" t="s">
        <v>95</v>
      </c>
      <c r="D33" s="33" t="s">
        <v>102</v>
      </c>
      <c r="E33" s="33" t="s">
        <v>196</v>
      </c>
    </row>
    <row r="34" spans="2:15" x14ac:dyDescent="0.25">
      <c r="B34" s="9" t="s">
        <v>197</v>
      </c>
      <c r="C34" s="28">
        <v>0.1</v>
      </c>
      <c r="D34" s="28">
        <v>1</v>
      </c>
      <c r="E34" s="28">
        <f>D34*C34</f>
        <v>0.1</v>
      </c>
      <c r="F34" t="s">
        <v>202</v>
      </c>
      <c r="M34" t="s">
        <v>678</v>
      </c>
      <c r="N34" t="s">
        <v>679</v>
      </c>
    </row>
    <row r="35" spans="2:15" x14ac:dyDescent="0.25">
      <c r="B35" s="9" t="s">
        <v>245</v>
      </c>
      <c r="C35" s="28">
        <f>1000/1627500*100</f>
        <v>6.1443932411674347E-2</v>
      </c>
      <c r="D35" s="28">
        <v>1</v>
      </c>
      <c r="E35" s="28">
        <f>D35*C35</f>
        <v>6.1443932411674347E-2</v>
      </c>
      <c r="F35" t="s">
        <v>676</v>
      </c>
      <c r="I35" t="s">
        <v>324</v>
      </c>
      <c r="M35">
        <f>(100*100*0.1*1.37)</f>
        <v>1370</v>
      </c>
      <c r="N35">
        <f>M35*1000</f>
        <v>1370000</v>
      </c>
    </row>
    <row r="36" spans="2:15" x14ac:dyDescent="0.25">
      <c r="B36" s="9" t="s">
        <v>214</v>
      </c>
      <c r="C36" s="48">
        <f>1/N35*100</f>
        <v>7.2992700729927014E-5</v>
      </c>
      <c r="D36" s="28">
        <v>1</v>
      </c>
      <c r="E36" s="28">
        <f t="shared" ref="E36:E37" si="0">D36*C36</f>
        <v>7.2992700729927014E-5</v>
      </c>
      <c r="F36" t="s">
        <v>677</v>
      </c>
    </row>
    <row r="37" spans="2:15" x14ac:dyDescent="0.25">
      <c r="B37" s="9" t="s">
        <v>1041</v>
      </c>
      <c r="C37" s="48">
        <f>1/M35*100</f>
        <v>7.2992700729927001E-2</v>
      </c>
      <c r="D37" s="28">
        <v>1</v>
      </c>
      <c r="E37" s="28">
        <f t="shared" si="0"/>
        <v>7.2992700729927001E-2</v>
      </c>
      <c r="F37" t="s">
        <v>677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9" t="s">
        <v>1158</v>
      </c>
      <c r="C38" s="48">
        <v>0.1</v>
      </c>
      <c r="D38" s="28">
        <v>1</v>
      </c>
      <c r="E38" s="28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9" t="s">
        <v>218</v>
      </c>
      <c r="C39" s="45"/>
      <c r="D39" s="45"/>
      <c r="E39" s="45"/>
    </row>
    <row r="41" spans="2:15" x14ac:dyDescent="0.25">
      <c r="B41" s="1" t="s">
        <v>1235</v>
      </c>
      <c r="J41" t="s">
        <v>1281</v>
      </c>
      <c r="K41" t="s">
        <v>1282</v>
      </c>
    </row>
    <row r="42" spans="2:15" x14ac:dyDescent="0.25">
      <c r="B42" s="8" t="s">
        <v>103</v>
      </c>
      <c r="C42" s="33" t="s">
        <v>95</v>
      </c>
      <c r="D42" s="33" t="s">
        <v>102</v>
      </c>
      <c r="E42" s="33" t="s">
        <v>284</v>
      </c>
      <c r="I42" t="s">
        <v>366</v>
      </c>
      <c r="J42" t="s">
        <v>367</v>
      </c>
      <c r="K42" t="s">
        <v>367</v>
      </c>
    </row>
    <row r="43" spans="2:15" x14ac:dyDescent="0.25">
      <c r="B43" s="9" t="s">
        <v>214</v>
      </c>
      <c r="C43" s="28">
        <f>1000000/K43</f>
        <v>5.6003584229390682E-2</v>
      </c>
      <c r="D43" s="28">
        <v>1</v>
      </c>
      <c r="E43" s="28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9" t="s">
        <v>196</v>
      </c>
      <c r="C44" s="28">
        <v>10000</v>
      </c>
      <c r="D44" s="28">
        <v>1</v>
      </c>
      <c r="E44" s="28">
        <f t="shared" ref="E44:E45" si="1">D44*C44</f>
        <v>10000</v>
      </c>
      <c r="F44" t="s">
        <v>386</v>
      </c>
      <c r="G44" t="s">
        <v>387</v>
      </c>
      <c r="H44" t="s">
        <v>388</v>
      </c>
    </row>
    <row r="45" spans="2:15" x14ac:dyDescent="0.25">
      <c r="B45" s="9" t="s">
        <v>197</v>
      </c>
      <c r="C45" s="28">
        <v>1000</v>
      </c>
      <c r="D45" s="28">
        <v>1</v>
      </c>
      <c r="E45" s="28">
        <f t="shared" si="1"/>
        <v>1000</v>
      </c>
    </row>
    <row r="46" spans="2:15" x14ac:dyDescent="0.25">
      <c r="B46" s="9" t="s">
        <v>390</v>
      </c>
      <c r="C46" s="28">
        <v>1</v>
      </c>
      <c r="D46" s="28">
        <v>1</v>
      </c>
      <c r="E46" s="28">
        <f t="shared" ref="E46" si="2">D46*C46</f>
        <v>1</v>
      </c>
      <c r="F46" t="s">
        <v>391</v>
      </c>
    </row>
    <row r="47" spans="2:15" x14ac:dyDescent="0.25">
      <c r="B47" s="9" t="s">
        <v>457</v>
      </c>
      <c r="C47" s="28">
        <v>1</v>
      </c>
      <c r="D47" s="28">
        <v>1</v>
      </c>
      <c r="E47" s="28">
        <f t="shared" ref="E47" si="3">D47*C47</f>
        <v>1</v>
      </c>
    </row>
    <row r="48" spans="2:15" x14ac:dyDescent="0.25">
      <c r="B48" s="9" t="s">
        <v>213</v>
      </c>
      <c r="C48" s="28">
        <f>1000/G48</f>
        <v>1.5220700152207001</v>
      </c>
      <c r="D48" s="28">
        <v>1</v>
      </c>
      <c r="E48" s="28">
        <f t="shared" ref="E48" si="4">D48*C48</f>
        <v>1.5220700152207001</v>
      </c>
      <c r="F48" t="s">
        <v>1224</v>
      </c>
      <c r="G48">
        <f>1.46*100*100*45/1000</f>
        <v>657</v>
      </c>
      <c r="I48" s="1" t="s">
        <v>1222</v>
      </c>
    </row>
    <row r="49" spans="2:14" x14ac:dyDescent="0.25">
      <c r="B49" s="9" t="s">
        <v>218</v>
      </c>
      <c r="C49" s="45"/>
      <c r="D49" s="45"/>
      <c r="E49" s="45"/>
    </row>
    <row r="51" spans="2:14" x14ac:dyDescent="0.25">
      <c r="B51" s="1" t="s">
        <v>283</v>
      </c>
    </row>
    <row r="52" spans="2:14" x14ac:dyDescent="0.25">
      <c r="B52" s="8" t="s">
        <v>232</v>
      </c>
      <c r="C52" s="33" t="s">
        <v>95</v>
      </c>
      <c r="D52" s="33" t="s">
        <v>102</v>
      </c>
      <c r="E52" s="33" t="s">
        <v>233</v>
      </c>
    </row>
    <row r="53" spans="2:14" x14ac:dyDescent="0.25">
      <c r="B53" s="9" t="s">
        <v>744</v>
      </c>
      <c r="C53" s="28">
        <f>1/22.7273</f>
        <v>4.3999947200063359E-2</v>
      </c>
      <c r="D53" s="28">
        <v>1</v>
      </c>
      <c r="E53" s="28">
        <f>D53*C53</f>
        <v>4.3999947200063359E-2</v>
      </c>
      <c r="F53" t="s">
        <v>234</v>
      </c>
      <c r="G53" t="s">
        <v>745</v>
      </c>
      <c r="I53">
        <f>1/1000000*44*1000</f>
        <v>4.3999999999999997E-2</v>
      </c>
    </row>
    <row r="54" spans="2:14" x14ac:dyDescent="0.25">
      <c r="B54" s="9" t="s">
        <v>282</v>
      </c>
      <c r="C54" s="28">
        <v>4.3999999999999997E-2</v>
      </c>
      <c r="D54" s="28">
        <v>1</v>
      </c>
      <c r="E54" s="28">
        <f t="shared" ref="E54:E56" si="5">D54*C54</f>
        <v>4.3999999999999997E-2</v>
      </c>
      <c r="F54" t="s">
        <v>746</v>
      </c>
      <c r="I54">
        <f>1/1000000000*44*1000*1000</f>
        <v>4.4000000000000004E-2</v>
      </c>
    </row>
    <row r="55" spans="2:14" x14ac:dyDescent="0.25">
      <c r="B55" s="9" t="s">
        <v>320</v>
      </c>
      <c r="C55" s="28">
        <f>1000000/L55</f>
        <v>0.61443932411674351</v>
      </c>
      <c r="D55" s="28">
        <v>1</v>
      </c>
      <c r="E55" s="28">
        <f t="shared" si="5"/>
        <v>0.61443932411674351</v>
      </c>
      <c r="F55" t="s">
        <v>323</v>
      </c>
      <c r="H55" t="s">
        <v>329</v>
      </c>
      <c r="L55">
        <f>100*100*0.15*1.085*1000</f>
        <v>1627500</v>
      </c>
      <c r="N55" s="1" t="s">
        <v>369</v>
      </c>
    </row>
    <row r="56" spans="2:14" x14ac:dyDescent="0.25">
      <c r="B56" s="9" t="s">
        <v>375</v>
      </c>
      <c r="C56" s="28">
        <f>1/1000000*1000*1000</f>
        <v>1</v>
      </c>
      <c r="D56" s="28">
        <v>1</v>
      </c>
      <c r="E56" s="28">
        <f t="shared" si="5"/>
        <v>1</v>
      </c>
    </row>
    <row r="57" spans="2:14" x14ac:dyDescent="0.25">
      <c r="B57" s="9"/>
      <c r="C57" s="28"/>
      <c r="D57" s="28"/>
      <c r="E57" s="28"/>
    </row>
    <row r="58" spans="2:14" x14ac:dyDescent="0.25">
      <c r="B58" s="9" t="s">
        <v>218</v>
      </c>
      <c r="C58" s="45"/>
      <c r="D58" s="45"/>
      <c r="E58" s="45"/>
    </row>
    <row r="60" spans="2:14" x14ac:dyDescent="0.25">
      <c r="B60" s="1" t="s">
        <v>1309</v>
      </c>
    </row>
    <row r="61" spans="2:14" x14ac:dyDescent="0.25">
      <c r="B61" s="8" t="s">
        <v>232</v>
      </c>
      <c r="C61" s="33" t="s">
        <v>95</v>
      </c>
      <c r="D61" s="33" t="s">
        <v>102</v>
      </c>
      <c r="E61" s="33" t="s">
        <v>284</v>
      </c>
    </row>
    <row r="62" spans="2:14" x14ac:dyDescent="0.25">
      <c r="B62" s="9" t="s">
        <v>282</v>
      </c>
      <c r="C62" s="9">
        <f>1/1000000000*12*1000*1000</f>
        <v>1.2000000000000002E-2</v>
      </c>
      <c r="D62" s="28">
        <v>1</v>
      </c>
      <c r="E62" s="28">
        <f>C62*D62</f>
        <v>1.2000000000000002E-2</v>
      </c>
      <c r="F62" t="s">
        <v>739</v>
      </c>
      <c r="I62" t="s">
        <v>740</v>
      </c>
      <c r="J62" s="108" t="s">
        <v>742</v>
      </c>
    </row>
    <row r="63" spans="2:14" x14ac:dyDescent="0.25">
      <c r="B63" s="9" t="s">
        <v>734</v>
      </c>
      <c r="C63" s="9">
        <f>0.01*12*1000</f>
        <v>120</v>
      </c>
      <c r="D63" s="28">
        <v>1</v>
      </c>
      <c r="E63" s="28">
        <f>C63*D63</f>
        <v>120</v>
      </c>
      <c r="F63" t="s">
        <v>741</v>
      </c>
      <c r="J63" t="s">
        <v>738</v>
      </c>
    </row>
    <row r="64" spans="2:14" x14ac:dyDescent="0.25">
      <c r="B64" s="9" t="s">
        <v>214</v>
      </c>
      <c r="C64" s="28">
        <f>1000000/1627500</f>
        <v>0.61443932411674351</v>
      </c>
      <c r="D64" s="28">
        <v>1</v>
      </c>
      <c r="E64" s="28">
        <f>D64*C64</f>
        <v>0.61443932411674351</v>
      </c>
      <c r="F64" t="s">
        <v>369</v>
      </c>
      <c r="G64" t="s">
        <v>743</v>
      </c>
      <c r="H64">
        <f>100*100*0.15*1.085</f>
        <v>1627.5</v>
      </c>
    </row>
    <row r="65" spans="2:10" x14ac:dyDescent="0.25">
      <c r="B65" s="9" t="s">
        <v>196</v>
      </c>
      <c r="C65" s="48">
        <f>1000000/100</f>
        <v>10000</v>
      </c>
      <c r="D65" s="28">
        <v>1</v>
      </c>
      <c r="E65" s="28">
        <f>D65*C65</f>
        <v>10000</v>
      </c>
    </row>
    <row r="66" spans="2:10" x14ac:dyDescent="0.25">
      <c r="B66" s="9" t="s">
        <v>218</v>
      </c>
      <c r="C66" s="45"/>
      <c r="D66" s="45"/>
      <c r="E66" s="45"/>
      <c r="J66" s="66"/>
    </row>
    <row r="69" spans="2:10" x14ac:dyDescent="0.25">
      <c r="B69" s="1" t="s">
        <v>803</v>
      </c>
    </row>
    <row r="70" spans="2:10" x14ac:dyDescent="0.25">
      <c r="B70" s="8" t="s">
        <v>232</v>
      </c>
      <c r="C70" s="33" t="s">
        <v>95</v>
      </c>
      <c r="D70" s="33" t="s">
        <v>102</v>
      </c>
      <c r="E70" s="33" t="s">
        <v>750</v>
      </c>
    </row>
    <row r="71" spans="2:10" x14ac:dyDescent="0.25">
      <c r="B71" s="9" t="s">
        <v>282</v>
      </c>
      <c r="C71" s="9">
        <f>1/1000000000*12*1000*1000</f>
        <v>1.2000000000000002E-2</v>
      </c>
      <c r="D71" s="28">
        <v>1</v>
      </c>
      <c r="E71" s="28">
        <f>C71*D71</f>
        <v>1.2000000000000002E-2</v>
      </c>
      <c r="G71">
        <f>1/1000000000*12*1000000</f>
        <v>1.2000000000000002E-2</v>
      </c>
    </row>
    <row r="72" spans="2:10" x14ac:dyDescent="0.25">
      <c r="B72" s="9" t="s">
        <v>1189</v>
      </c>
      <c r="C72" s="9">
        <f>C71/1000</f>
        <v>1.2000000000000002E-5</v>
      </c>
      <c r="D72" s="28"/>
      <c r="E72" s="28"/>
    </row>
    <row r="73" spans="2:10" x14ac:dyDescent="0.25">
      <c r="B73" s="9"/>
      <c r="C73" s="28"/>
      <c r="D73" s="28"/>
      <c r="E73" s="28"/>
    </row>
    <row r="74" spans="2:10" x14ac:dyDescent="0.25">
      <c r="B74" s="9"/>
      <c r="C74" s="28"/>
      <c r="D74" s="28"/>
      <c r="E74" s="28"/>
    </row>
    <row r="75" spans="2:10" x14ac:dyDescent="0.25">
      <c r="B75" s="9" t="s">
        <v>218</v>
      </c>
      <c r="C75" s="45"/>
      <c r="D75" s="45"/>
      <c r="E75" s="45"/>
    </row>
    <row r="78" spans="2:10" x14ac:dyDescent="0.25">
      <c r="B78" s="1" t="s">
        <v>1048</v>
      </c>
    </row>
    <row r="79" spans="2:10" x14ac:dyDescent="0.25">
      <c r="B79" s="8" t="s">
        <v>232</v>
      </c>
      <c r="C79" s="33" t="s">
        <v>95</v>
      </c>
      <c r="D79" s="33" t="s">
        <v>102</v>
      </c>
      <c r="E79" s="33" t="s">
        <v>1071</v>
      </c>
    </row>
    <row r="80" spans="2:10" x14ac:dyDescent="0.25">
      <c r="B80" s="9" t="s">
        <v>1049</v>
      </c>
      <c r="C80" s="9">
        <f>3600/10</f>
        <v>360</v>
      </c>
      <c r="D80" s="28">
        <v>1</v>
      </c>
      <c r="E80" s="28">
        <f>C80*D80</f>
        <v>360</v>
      </c>
    </row>
    <row r="81" spans="2:5" x14ac:dyDescent="0.25">
      <c r="B81" s="9"/>
      <c r="C81" s="9"/>
      <c r="D81" s="28"/>
      <c r="E81" s="28"/>
    </row>
    <row r="82" spans="2:5" x14ac:dyDescent="0.25">
      <c r="B82" s="9"/>
      <c r="C82" s="28"/>
      <c r="D82" s="28"/>
      <c r="E82" s="28"/>
    </row>
    <row r="83" spans="2:5" x14ac:dyDescent="0.25">
      <c r="B83" s="9"/>
      <c r="C83" s="28"/>
      <c r="D83" s="28"/>
      <c r="E83" s="28"/>
    </row>
    <row r="84" spans="2:5" x14ac:dyDescent="0.25">
      <c r="B84" s="9" t="s">
        <v>218</v>
      </c>
      <c r="C84" s="45"/>
      <c r="D84" s="45"/>
      <c r="E84" s="45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workbookViewId="0">
      <selection activeCell="G26" sqref="G26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285</v>
      </c>
    </row>
    <row r="5" spans="2:20" x14ac:dyDescent="0.25">
      <c r="B5" s="29" t="s">
        <v>103</v>
      </c>
      <c r="C5" s="29" t="s">
        <v>286</v>
      </c>
      <c r="D5" s="29" t="s">
        <v>287</v>
      </c>
      <c r="E5" s="29" t="s">
        <v>288</v>
      </c>
    </row>
    <row r="6" spans="2:20" x14ac:dyDescent="0.25">
      <c r="B6" s="30" t="s">
        <v>289</v>
      </c>
      <c r="C6" s="11">
        <f>1/12*10^6/24/60/60</f>
        <v>0.96450617283950613</v>
      </c>
      <c r="D6" s="10">
        <v>1</v>
      </c>
      <c r="E6" s="10">
        <f t="shared" ref="E6:E20" si="0">D6*C6</f>
        <v>0.96450617283950613</v>
      </c>
    </row>
    <row r="7" spans="2:20" x14ac:dyDescent="0.25">
      <c r="B7" s="30" t="s">
        <v>290</v>
      </c>
      <c r="C7" s="9">
        <f>1/12*10^6/60/60</f>
        <v>23.148148148148149</v>
      </c>
      <c r="D7" s="10">
        <v>0.1</v>
      </c>
      <c r="E7" s="10">
        <f t="shared" si="0"/>
        <v>2.3148148148148149</v>
      </c>
    </row>
    <row r="8" spans="2:20" x14ac:dyDescent="0.25">
      <c r="B8" s="30" t="s">
        <v>291</v>
      </c>
      <c r="C8" s="9">
        <f>1/12*10^6/24/60/60/365</f>
        <v>2.6424826653137154E-3</v>
      </c>
      <c r="D8" s="9">
        <v>500</v>
      </c>
      <c r="E8" s="10">
        <f t="shared" si="0"/>
        <v>1.3212413326568577</v>
      </c>
    </row>
    <row r="9" spans="2:20" x14ac:dyDescent="0.25">
      <c r="B9" s="30" t="s">
        <v>292</v>
      </c>
      <c r="C9" s="11">
        <f>1/44*10^6/60/60/24</f>
        <v>0.26304713804713803</v>
      </c>
      <c r="D9" s="9">
        <v>10</v>
      </c>
      <c r="E9" s="10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30" t="s">
        <v>293</v>
      </c>
      <c r="C10" s="11">
        <f>1/44*10^6/60/60</f>
        <v>6.3131313131313131</v>
      </c>
      <c r="D10" s="10">
        <v>1</v>
      </c>
      <c r="E10" s="10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30" t="s">
        <v>294</v>
      </c>
      <c r="C11" s="11">
        <f>1/1000/12*10^6/60/60/24</f>
        <v>9.6450617283950612E-4</v>
      </c>
      <c r="D11" s="10">
        <v>1000</v>
      </c>
      <c r="E11" s="10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30" t="s">
        <v>295</v>
      </c>
      <c r="C12" s="11">
        <f>1/1000/12*10^6/60/60</f>
        <v>2.3148148148148147E-2</v>
      </c>
      <c r="D12" s="10">
        <v>83</v>
      </c>
      <c r="E12" s="10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30" t="s">
        <v>296</v>
      </c>
      <c r="C13" s="11">
        <f>1/1000/44*10^6/24/60/60</f>
        <v>2.6304713804713804E-4</v>
      </c>
      <c r="D13" s="10">
        <v>1000</v>
      </c>
      <c r="E13" s="10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30" t="s">
        <v>297</v>
      </c>
      <c r="C14" s="11">
        <f>1/1000/44*10^6/60/60</f>
        <v>6.3131313131313139E-3</v>
      </c>
      <c r="D14" s="10">
        <v>100</v>
      </c>
      <c r="E14" s="10">
        <f t="shared" si="0"/>
        <v>0.63131313131313138</v>
      </c>
    </row>
    <row r="15" spans="2:20" x14ac:dyDescent="0.25">
      <c r="B15" s="30" t="s">
        <v>735</v>
      </c>
      <c r="C15" s="11">
        <f>1/1000/44*10^6</f>
        <v>22.72727272727273</v>
      </c>
      <c r="D15" s="9">
        <v>1</v>
      </c>
      <c r="E15" s="10">
        <f t="shared" si="0"/>
        <v>22.72727272727273</v>
      </c>
      <c r="F15" t="s">
        <v>736</v>
      </c>
      <c r="G15" t="s">
        <v>737</v>
      </c>
      <c r="H15">
        <f>0.001/44*1000000</f>
        <v>22.72727272727273</v>
      </c>
    </row>
    <row r="16" spans="2:20" x14ac:dyDescent="0.25">
      <c r="B16" s="30" t="s">
        <v>298</v>
      </c>
      <c r="C16" s="11">
        <f>1*1000/24/60/60</f>
        <v>1.1574074074074073E-2</v>
      </c>
      <c r="D16" s="10">
        <v>10</v>
      </c>
      <c r="E16" s="10">
        <f t="shared" si="0"/>
        <v>0.11574074074074073</v>
      </c>
    </row>
    <row r="17" spans="2:5" x14ac:dyDescent="0.25">
      <c r="B17" s="30" t="s">
        <v>299</v>
      </c>
      <c r="C17" s="9">
        <f>1*1000/60/60</f>
        <v>0.27777777777777779</v>
      </c>
      <c r="D17" s="10">
        <v>100</v>
      </c>
      <c r="E17" s="10">
        <f t="shared" si="0"/>
        <v>27.777777777777779</v>
      </c>
    </row>
    <row r="18" spans="2:5" x14ac:dyDescent="0.25">
      <c r="B18" s="30" t="s">
        <v>300</v>
      </c>
      <c r="C18" s="11">
        <f>1/1000</f>
        <v>1E-3</v>
      </c>
      <c r="D18" s="10">
        <v>1000</v>
      </c>
      <c r="E18" s="10">
        <f t="shared" si="0"/>
        <v>1</v>
      </c>
    </row>
    <row r="19" spans="2:5" x14ac:dyDescent="0.25">
      <c r="B19" s="30" t="s">
        <v>301</v>
      </c>
      <c r="C19" s="9">
        <f>1*10^6/365/24/60/60</f>
        <v>3.1709791983764585E-2</v>
      </c>
      <c r="D19" s="10">
        <v>10</v>
      </c>
      <c r="E19" s="10">
        <f t="shared" si="0"/>
        <v>0.31709791983764585</v>
      </c>
    </row>
    <row r="20" spans="2:5" x14ac:dyDescent="0.25">
      <c r="B20" s="30" t="s">
        <v>302</v>
      </c>
      <c r="C20" s="11">
        <v>1</v>
      </c>
      <c r="D20" s="10">
        <v>1</v>
      </c>
      <c r="E20" s="10">
        <f t="shared" si="0"/>
        <v>1</v>
      </c>
    </row>
    <row r="22" spans="2:5" x14ac:dyDescent="0.25">
      <c r="B22" t="s">
        <v>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46" workbookViewId="0">
      <selection activeCell="H11" sqref="H11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124" t="s">
        <v>1323</v>
      </c>
      <c r="C2" s="125" t="s">
        <v>1324</v>
      </c>
      <c r="D2" s="126" t="s">
        <v>1325</v>
      </c>
      <c r="E2" s="127" t="s">
        <v>1326</v>
      </c>
    </row>
    <row r="3" spans="2:5" ht="15.75" x14ac:dyDescent="0.25">
      <c r="B3" s="128" t="s">
        <v>1327</v>
      </c>
      <c r="C3" s="121"/>
      <c r="D3" s="121"/>
      <c r="E3" s="129"/>
    </row>
    <row r="4" spans="2:5" ht="15.75" x14ac:dyDescent="0.25">
      <c r="B4" s="130"/>
      <c r="C4" s="122" t="s">
        <v>1328</v>
      </c>
      <c r="D4" s="122" t="s">
        <v>1329</v>
      </c>
      <c r="E4" s="131" t="s">
        <v>1330</v>
      </c>
    </row>
    <row r="5" spans="2:5" ht="15.75" x14ac:dyDescent="0.25">
      <c r="B5" s="130"/>
      <c r="C5" s="122" t="s">
        <v>1331</v>
      </c>
      <c r="D5" s="122" t="s">
        <v>1332</v>
      </c>
      <c r="E5" s="131" t="s">
        <v>1333</v>
      </c>
    </row>
    <row r="6" spans="2:5" ht="15.75" x14ac:dyDescent="0.25">
      <c r="B6" s="130"/>
      <c r="C6" s="122" t="s">
        <v>1334</v>
      </c>
      <c r="D6" s="122" t="s">
        <v>1335</v>
      </c>
      <c r="E6" s="131" t="s">
        <v>1336</v>
      </c>
    </row>
    <row r="7" spans="2:5" ht="15.75" x14ac:dyDescent="0.25">
      <c r="B7" s="128" t="s">
        <v>1337</v>
      </c>
      <c r="C7" s="121"/>
      <c r="D7" s="121"/>
      <c r="E7" s="129"/>
    </row>
    <row r="8" spans="2:5" ht="31.5" x14ac:dyDescent="0.25">
      <c r="B8" s="130"/>
      <c r="C8" s="122" t="s">
        <v>1338</v>
      </c>
      <c r="D8" s="122" t="s">
        <v>1339</v>
      </c>
      <c r="E8" s="131" t="s">
        <v>1340</v>
      </c>
    </row>
    <row r="9" spans="2:5" ht="31.5" x14ac:dyDescent="0.25">
      <c r="B9" s="130"/>
      <c r="C9" s="122" t="s">
        <v>1341</v>
      </c>
      <c r="D9" s="122" t="s">
        <v>1342</v>
      </c>
      <c r="E9" s="131" t="s">
        <v>1343</v>
      </c>
    </row>
    <row r="10" spans="2:5" ht="15.75" x14ac:dyDescent="0.25">
      <c r="B10" s="130"/>
      <c r="C10" s="122" t="s">
        <v>1344</v>
      </c>
      <c r="D10" s="122" t="s">
        <v>1345</v>
      </c>
      <c r="E10" s="131" t="s">
        <v>1346</v>
      </c>
    </row>
    <row r="11" spans="2:5" ht="31.5" x14ac:dyDescent="0.25">
      <c r="B11" s="130"/>
      <c r="C11" s="122" t="s">
        <v>1347</v>
      </c>
      <c r="D11" s="122" t="s">
        <v>1339</v>
      </c>
      <c r="E11" s="131" t="s">
        <v>1348</v>
      </c>
    </row>
    <row r="12" spans="2:5" ht="15.75" x14ac:dyDescent="0.25">
      <c r="B12" s="130"/>
      <c r="C12" s="122" t="s">
        <v>1349</v>
      </c>
      <c r="D12" s="122" t="s">
        <v>1350</v>
      </c>
      <c r="E12" s="131" t="s">
        <v>1351</v>
      </c>
    </row>
    <row r="13" spans="2:5" ht="31.5" x14ac:dyDescent="0.25">
      <c r="B13" s="130"/>
      <c r="C13" s="122" t="s">
        <v>1352</v>
      </c>
      <c r="D13" s="122" t="s">
        <v>1353</v>
      </c>
      <c r="E13" s="131" t="s">
        <v>1354</v>
      </c>
    </row>
    <row r="14" spans="2:5" ht="15.75" x14ac:dyDescent="0.25">
      <c r="B14" s="130"/>
      <c r="C14" s="122" t="s">
        <v>1355</v>
      </c>
      <c r="D14" s="122" t="s">
        <v>1350</v>
      </c>
      <c r="E14" s="131" t="s">
        <v>1354</v>
      </c>
    </row>
    <row r="15" spans="2:5" ht="15.75" x14ac:dyDescent="0.25">
      <c r="B15" s="130"/>
      <c r="C15" s="122" t="s">
        <v>1356</v>
      </c>
      <c r="D15" s="122" t="s">
        <v>1350</v>
      </c>
      <c r="E15" s="131" t="s">
        <v>1357</v>
      </c>
    </row>
    <row r="16" spans="2:5" ht="15.75" x14ac:dyDescent="0.25">
      <c r="B16" s="130"/>
      <c r="C16" s="122" t="s">
        <v>1358</v>
      </c>
      <c r="D16" s="122" t="s">
        <v>1359</v>
      </c>
      <c r="E16" s="131" t="s">
        <v>1357</v>
      </c>
    </row>
    <row r="17" spans="2:5" ht="15.75" x14ac:dyDescent="0.25">
      <c r="B17" s="128" t="s">
        <v>1360</v>
      </c>
      <c r="C17" s="121"/>
      <c r="D17" s="121"/>
      <c r="E17" s="129"/>
    </row>
    <row r="18" spans="2:5" ht="31.5" x14ac:dyDescent="0.25">
      <c r="B18" s="130"/>
      <c r="C18" s="122" t="s">
        <v>1361</v>
      </c>
      <c r="D18" s="122" t="s">
        <v>1362</v>
      </c>
      <c r="E18" s="131" t="s">
        <v>1363</v>
      </c>
    </row>
    <row r="19" spans="2:5" ht="31.5" x14ac:dyDescent="0.25">
      <c r="B19" s="130"/>
      <c r="C19" s="122" t="s">
        <v>1364</v>
      </c>
      <c r="D19" s="122" t="s">
        <v>1365</v>
      </c>
      <c r="E19" s="131" t="s">
        <v>1366</v>
      </c>
    </row>
    <row r="20" spans="2:5" ht="15.75" x14ac:dyDescent="0.25">
      <c r="B20" s="130"/>
      <c r="C20" s="122" t="s">
        <v>1367</v>
      </c>
      <c r="D20" s="122" t="s">
        <v>727</v>
      </c>
      <c r="E20" s="131" t="s">
        <v>1368</v>
      </c>
    </row>
    <row r="21" spans="2:5" ht="15.75" x14ac:dyDescent="0.25">
      <c r="B21" s="130"/>
      <c r="C21" s="122" t="s">
        <v>1369</v>
      </c>
      <c r="D21" s="122" t="s">
        <v>1370</v>
      </c>
      <c r="E21" s="131" t="s">
        <v>1371</v>
      </c>
    </row>
    <row r="22" spans="2:5" x14ac:dyDescent="0.25">
      <c r="B22" s="130"/>
      <c r="C22" s="121"/>
      <c r="D22" s="121"/>
      <c r="E22" s="129"/>
    </row>
    <row r="23" spans="2:5" ht="15.75" x14ac:dyDescent="0.25">
      <c r="B23" s="130"/>
      <c r="C23" s="122" t="s">
        <v>1372</v>
      </c>
      <c r="D23" s="122" t="s">
        <v>1373</v>
      </c>
      <c r="E23" s="131" t="s">
        <v>1374</v>
      </c>
    </row>
    <row r="24" spans="2:5" ht="15.75" x14ac:dyDescent="0.25">
      <c r="B24" s="128" t="s">
        <v>1375</v>
      </c>
      <c r="C24" s="121"/>
      <c r="D24" s="121"/>
      <c r="E24" s="129"/>
    </row>
    <row r="25" spans="2:5" ht="15.75" x14ac:dyDescent="0.25">
      <c r="B25" s="130"/>
      <c r="C25" s="122" t="s">
        <v>1376</v>
      </c>
      <c r="D25" s="121"/>
      <c r="E25" s="131" t="s">
        <v>1377</v>
      </c>
    </row>
    <row r="26" spans="2:5" ht="15.75" x14ac:dyDescent="0.25">
      <c r="B26" s="128" t="s">
        <v>1378</v>
      </c>
      <c r="C26" s="121"/>
      <c r="D26" s="121"/>
      <c r="E26" s="129"/>
    </row>
    <row r="27" spans="2:5" ht="31.5" x14ac:dyDescent="0.25">
      <c r="B27" s="130"/>
      <c r="C27" s="122" t="s">
        <v>1379</v>
      </c>
      <c r="D27" s="122" t="s">
        <v>1380</v>
      </c>
      <c r="E27" s="131" t="s">
        <v>1381</v>
      </c>
    </row>
    <row r="28" spans="2:5" ht="15.75" x14ac:dyDescent="0.25">
      <c r="B28" s="130"/>
      <c r="C28" s="122" t="s">
        <v>1382</v>
      </c>
      <c r="D28" s="122" t="s">
        <v>1383</v>
      </c>
      <c r="E28" s="131" t="s">
        <v>1384</v>
      </c>
    </row>
    <row r="29" spans="2:5" ht="31.5" x14ac:dyDescent="0.25">
      <c r="B29" s="130"/>
      <c r="C29" s="122" t="s">
        <v>1385</v>
      </c>
      <c r="D29" s="122" t="s">
        <v>1386</v>
      </c>
      <c r="E29" s="131" t="s">
        <v>1384</v>
      </c>
    </row>
    <row r="30" spans="2:5" ht="15.75" x14ac:dyDescent="0.25">
      <c r="B30" s="130"/>
      <c r="C30" s="122" t="s">
        <v>1387</v>
      </c>
      <c r="D30" s="122" t="s">
        <v>1388</v>
      </c>
      <c r="E30" s="131" t="s">
        <v>1389</v>
      </c>
    </row>
    <row r="31" spans="2:5" ht="15.75" x14ac:dyDescent="0.25">
      <c r="B31" s="130"/>
      <c r="C31" s="122" t="s">
        <v>1390</v>
      </c>
      <c r="D31" s="122" t="s">
        <v>1391</v>
      </c>
      <c r="E31" s="131" t="s">
        <v>1392</v>
      </c>
    </row>
    <row r="32" spans="2:5" ht="15.75" x14ac:dyDescent="0.25">
      <c r="B32" s="130"/>
      <c r="C32" s="122" t="s">
        <v>1393</v>
      </c>
      <c r="D32" s="122" t="s">
        <v>1394</v>
      </c>
      <c r="E32" s="131" t="s">
        <v>1395</v>
      </c>
    </row>
    <row r="33" spans="2:5" ht="15.75" x14ac:dyDescent="0.25">
      <c r="B33" s="130"/>
      <c r="C33" s="122" t="s">
        <v>1396</v>
      </c>
      <c r="D33" s="122" t="s">
        <v>1394</v>
      </c>
      <c r="E33" s="131" t="s">
        <v>1397</v>
      </c>
    </row>
    <row r="34" spans="2:5" ht="15.75" x14ac:dyDescent="0.25">
      <c r="B34" s="130"/>
      <c r="C34" s="122" t="s">
        <v>1398</v>
      </c>
      <c r="D34" s="122" t="s">
        <v>1399</v>
      </c>
      <c r="E34" s="131" t="s">
        <v>1397</v>
      </c>
    </row>
    <row r="35" spans="2:5" ht="31.5" x14ac:dyDescent="0.25">
      <c r="B35" s="130"/>
      <c r="C35" s="122" t="s">
        <v>1400</v>
      </c>
      <c r="D35" s="122" t="s">
        <v>1401</v>
      </c>
      <c r="E35" s="131" t="s">
        <v>1402</v>
      </c>
    </row>
    <row r="36" spans="2:5" ht="31.5" x14ac:dyDescent="0.25">
      <c r="B36" s="130"/>
      <c r="C36" s="122" t="s">
        <v>1403</v>
      </c>
      <c r="D36" s="122" t="s">
        <v>1401</v>
      </c>
      <c r="E36" s="131" t="s">
        <v>1404</v>
      </c>
    </row>
    <row r="37" spans="2:5" ht="47.25" x14ac:dyDescent="0.25">
      <c r="B37" s="130"/>
      <c r="C37" s="122" t="s">
        <v>1405</v>
      </c>
      <c r="D37" s="123" t="s">
        <v>1406</v>
      </c>
      <c r="E37" s="131" t="s">
        <v>1404</v>
      </c>
    </row>
    <row r="38" spans="2:5" ht="31.5" x14ac:dyDescent="0.25">
      <c r="B38" s="130"/>
      <c r="C38" s="122" t="s">
        <v>1407</v>
      </c>
      <c r="D38" s="122" t="s">
        <v>1408</v>
      </c>
      <c r="E38" s="131" t="s">
        <v>1409</v>
      </c>
    </row>
    <row r="39" spans="2:5" ht="15.75" x14ac:dyDescent="0.25">
      <c r="B39" s="130"/>
      <c r="C39" s="122" t="s">
        <v>1410</v>
      </c>
      <c r="D39" s="122" t="s">
        <v>1394</v>
      </c>
      <c r="E39" s="131" t="s">
        <v>1411</v>
      </c>
    </row>
    <row r="40" spans="2:5" ht="15.75" x14ac:dyDescent="0.25">
      <c r="B40" s="130"/>
      <c r="C40" s="122" t="s">
        <v>1412</v>
      </c>
      <c r="D40" s="122" t="s">
        <v>1413</v>
      </c>
      <c r="E40" s="131" t="s">
        <v>1414</v>
      </c>
    </row>
    <row r="41" spans="2:5" ht="15.75" x14ac:dyDescent="0.25">
      <c r="B41" s="128" t="s">
        <v>1415</v>
      </c>
      <c r="C41" s="121"/>
      <c r="D41" s="121"/>
      <c r="E41" s="129"/>
    </row>
    <row r="42" spans="2:5" ht="31.5" x14ac:dyDescent="0.25">
      <c r="B42" s="130"/>
      <c r="C42" s="122" t="s">
        <v>1416</v>
      </c>
      <c r="D42" s="122" t="s">
        <v>1345</v>
      </c>
      <c r="E42" s="131" t="s">
        <v>1417</v>
      </c>
    </row>
    <row r="43" spans="2:5" ht="31.5" x14ac:dyDescent="0.25">
      <c r="B43" s="130"/>
      <c r="C43" s="122" t="s">
        <v>1418</v>
      </c>
      <c r="D43" s="122" t="s">
        <v>1408</v>
      </c>
      <c r="E43" s="131" t="s">
        <v>1417</v>
      </c>
    </row>
    <row r="44" spans="2:5" ht="31.5" x14ac:dyDescent="0.25">
      <c r="B44" s="130"/>
      <c r="C44" s="122" t="s">
        <v>1419</v>
      </c>
      <c r="D44" s="122" t="s">
        <v>1339</v>
      </c>
      <c r="E44" s="131" t="s">
        <v>1420</v>
      </c>
    </row>
    <row r="45" spans="2:5" ht="15.75" x14ac:dyDescent="0.25">
      <c r="B45" s="130"/>
      <c r="C45" s="122" t="s">
        <v>1421</v>
      </c>
      <c r="D45" s="122" t="s">
        <v>1399</v>
      </c>
      <c r="E45" s="131" t="s">
        <v>1422</v>
      </c>
    </row>
    <row r="46" spans="2:5" ht="31.5" x14ac:dyDescent="0.25">
      <c r="B46" s="130"/>
      <c r="C46" s="122" t="s">
        <v>1423</v>
      </c>
      <c r="D46" s="122" t="s">
        <v>1399</v>
      </c>
      <c r="E46" s="131" t="s">
        <v>1424</v>
      </c>
    </row>
    <row r="47" spans="2:5" ht="15.75" x14ac:dyDescent="0.25">
      <c r="B47" s="130"/>
      <c r="C47" s="122" t="s">
        <v>1425</v>
      </c>
      <c r="D47" s="122" t="s">
        <v>1426</v>
      </c>
      <c r="E47" s="131" t="s">
        <v>1427</v>
      </c>
    </row>
    <row r="48" spans="2:5" ht="15.75" x14ac:dyDescent="0.25">
      <c r="B48" s="130"/>
      <c r="C48" s="122" t="s">
        <v>1428</v>
      </c>
      <c r="D48" s="122" t="s">
        <v>1429</v>
      </c>
      <c r="E48" s="131" t="s">
        <v>1430</v>
      </c>
    </row>
    <row r="49" spans="2:5" ht="15.75" x14ac:dyDescent="0.25">
      <c r="B49" s="130"/>
      <c r="C49" s="122" t="s">
        <v>1431</v>
      </c>
      <c r="D49" s="122" t="s">
        <v>1399</v>
      </c>
      <c r="E49" s="131" t="s">
        <v>1432</v>
      </c>
    </row>
    <row r="50" spans="2:5" ht="31.5" x14ac:dyDescent="0.25">
      <c r="B50" s="130"/>
      <c r="C50" s="122" t="s">
        <v>1433</v>
      </c>
      <c r="D50" s="122" t="s">
        <v>1434</v>
      </c>
      <c r="E50" s="131" t="s">
        <v>1435</v>
      </c>
    </row>
    <row r="51" spans="2:5" ht="31.5" x14ac:dyDescent="0.25">
      <c r="B51" s="130"/>
      <c r="C51" s="122" t="s">
        <v>1436</v>
      </c>
      <c r="D51" s="122" t="s">
        <v>1339</v>
      </c>
      <c r="E51" s="131" t="s">
        <v>1437</v>
      </c>
    </row>
    <row r="52" spans="2:5" ht="31.5" x14ac:dyDescent="0.25">
      <c r="B52" s="130"/>
      <c r="C52" s="122" t="s">
        <v>1438</v>
      </c>
      <c r="D52" s="122" t="s">
        <v>1439</v>
      </c>
      <c r="E52" s="131" t="s">
        <v>1440</v>
      </c>
    </row>
    <row r="53" spans="2:5" ht="31.5" x14ac:dyDescent="0.25">
      <c r="B53" s="130"/>
      <c r="C53" s="122" t="s">
        <v>1441</v>
      </c>
      <c r="D53" s="122" t="s">
        <v>1442</v>
      </c>
      <c r="E53" s="131" t="s">
        <v>1443</v>
      </c>
    </row>
    <row r="54" spans="2:5" ht="31.5" x14ac:dyDescent="0.25">
      <c r="B54" s="130"/>
      <c r="C54" s="122" t="s">
        <v>1444</v>
      </c>
      <c r="D54" s="122" t="s">
        <v>1442</v>
      </c>
      <c r="E54" s="131" t="s">
        <v>1443</v>
      </c>
    </row>
    <row r="55" spans="2:5" ht="15.75" x14ac:dyDescent="0.25">
      <c r="B55" s="130"/>
      <c r="C55" s="122" t="s">
        <v>1445</v>
      </c>
      <c r="D55" s="122" t="s">
        <v>1332</v>
      </c>
      <c r="E55" s="131" t="s">
        <v>1446</v>
      </c>
    </row>
    <row r="56" spans="2:5" ht="31.5" x14ac:dyDescent="0.25">
      <c r="B56" s="130"/>
      <c r="C56" s="122" t="s">
        <v>1447</v>
      </c>
      <c r="D56" s="122" t="s">
        <v>1448</v>
      </c>
      <c r="E56" s="131" t="s">
        <v>1449</v>
      </c>
    </row>
    <row r="57" spans="2:5" ht="31.5" x14ac:dyDescent="0.25">
      <c r="B57" s="130"/>
      <c r="C57" s="122" t="s">
        <v>1450</v>
      </c>
      <c r="D57" s="122" t="s">
        <v>1451</v>
      </c>
      <c r="E57" s="131" t="s">
        <v>1452</v>
      </c>
    </row>
    <row r="58" spans="2:5" ht="31.5" x14ac:dyDescent="0.25">
      <c r="B58" s="130"/>
      <c r="C58" s="122" t="s">
        <v>1453</v>
      </c>
      <c r="D58" s="122" t="s">
        <v>1401</v>
      </c>
      <c r="E58" s="131" t="s">
        <v>1454</v>
      </c>
    </row>
    <row r="59" spans="2:5" ht="31.5" x14ac:dyDescent="0.25">
      <c r="B59" s="130"/>
      <c r="C59" s="122" t="s">
        <v>1455</v>
      </c>
      <c r="D59" s="122" t="s">
        <v>1345</v>
      </c>
      <c r="E59" s="131" t="s">
        <v>1456</v>
      </c>
    </row>
    <row r="60" spans="2:5" ht="15.75" x14ac:dyDescent="0.25">
      <c r="B60" s="128" t="s">
        <v>1457</v>
      </c>
      <c r="C60" s="121"/>
      <c r="D60" s="121"/>
      <c r="E60" s="129"/>
    </row>
    <row r="61" spans="2:5" ht="15.75" x14ac:dyDescent="0.25">
      <c r="B61" s="130"/>
      <c r="C61" s="122" t="s">
        <v>1458</v>
      </c>
      <c r="D61" s="122" t="s">
        <v>1413</v>
      </c>
      <c r="E61" s="131" t="s">
        <v>1459</v>
      </c>
    </row>
    <row r="62" spans="2:5" ht="15.75" x14ac:dyDescent="0.25">
      <c r="B62" s="128" t="s">
        <v>1460</v>
      </c>
      <c r="C62" s="121"/>
      <c r="D62" s="121"/>
      <c r="E62" s="129"/>
    </row>
    <row r="63" spans="2:5" ht="31.5" x14ac:dyDescent="0.25">
      <c r="B63" s="130"/>
      <c r="C63" s="122" t="s">
        <v>1461</v>
      </c>
      <c r="D63" s="122" t="s">
        <v>1408</v>
      </c>
      <c r="E63" s="131" t="s">
        <v>1462</v>
      </c>
    </row>
    <row r="64" spans="2:5" ht="31.5" x14ac:dyDescent="0.25">
      <c r="B64" s="130"/>
      <c r="C64" s="122" t="s">
        <v>1463</v>
      </c>
      <c r="D64" s="122" t="s">
        <v>1464</v>
      </c>
      <c r="E64" s="132" t="s">
        <v>1462</v>
      </c>
    </row>
    <row r="65" spans="2:5" ht="32.25" thickBot="1" x14ac:dyDescent="0.3">
      <c r="B65" s="133"/>
      <c r="C65" s="134" t="s">
        <v>1465</v>
      </c>
      <c r="D65" s="134" t="s">
        <v>1466</v>
      </c>
      <c r="E65" s="135" t="s">
        <v>1467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workbookViewId="0">
      <selection activeCell="I10" sqref="I10"/>
    </sheetView>
  </sheetViews>
  <sheetFormatPr defaultRowHeight="15" x14ac:dyDescent="0.25"/>
  <cols>
    <col min="1" max="1" width="12.85546875" customWidth="1"/>
    <col min="2" max="2" width="25.5703125" customWidth="1"/>
    <col min="3" max="3" width="19" customWidth="1"/>
    <col min="4" max="4" width="12.7109375" customWidth="1"/>
    <col min="5" max="5" width="28.5703125" customWidth="1"/>
  </cols>
  <sheetData>
    <row r="1" spans="2:5" s="1" customFormat="1" ht="19.5" customHeight="1" x14ac:dyDescent="0.25">
      <c r="B1" s="16" t="s">
        <v>0</v>
      </c>
      <c r="C1" s="16" t="s">
        <v>1814</v>
      </c>
      <c r="D1" s="16" t="s">
        <v>1813</v>
      </c>
      <c r="E1" s="16" t="s">
        <v>1815</v>
      </c>
    </row>
    <row r="2" spans="2:5" x14ac:dyDescent="0.25">
      <c r="B2" s="161" t="s">
        <v>1691</v>
      </c>
      <c r="C2" s="194" t="s">
        <v>1288</v>
      </c>
      <c r="D2" s="194" t="s">
        <v>1288</v>
      </c>
      <c r="E2" t="s">
        <v>1816</v>
      </c>
    </row>
    <row r="3" spans="2:5" x14ac:dyDescent="0.25">
      <c r="B3" s="161" t="s">
        <v>145</v>
      </c>
      <c r="C3" s="194"/>
      <c r="D3" s="194"/>
      <c r="E3" t="s">
        <v>1816</v>
      </c>
    </row>
    <row r="4" spans="2:5" x14ac:dyDescent="0.25">
      <c r="B4" s="161" t="s">
        <v>1757</v>
      </c>
      <c r="C4" s="194"/>
      <c r="D4" s="194"/>
      <c r="E4" t="s">
        <v>1816</v>
      </c>
    </row>
    <row r="5" spans="2:5" x14ac:dyDescent="0.25">
      <c r="B5" s="161" t="s">
        <v>610</v>
      </c>
      <c r="C5" s="194"/>
      <c r="D5" s="194"/>
      <c r="E5" t="s">
        <v>1816</v>
      </c>
    </row>
    <row r="6" spans="2:5" x14ac:dyDescent="0.25">
      <c r="B6" s="161" t="s">
        <v>1288</v>
      </c>
      <c r="C6" s="194"/>
      <c r="D6" s="194"/>
      <c r="E6" t="s">
        <v>1816</v>
      </c>
    </row>
    <row r="7" spans="2:5" x14ac:dyDescent="0.25">
      <c r="B7" s="113" t="s">
        <v>639</v>
      </c>
      <c r="C7" s="195" t="s">
        <v>1766</v>
      </c>
      <c r="D7" s="194"/>
      <c r="E7" t="s">
        <v>1816</v>
      </c>
    </row>
    <row r="8" spans="2:5" x14ac:dyDescent="0.25">
      <c r="B8" s="113" t="s">
        <v>1216</v>
      </c>
      <c r="C8" s="195"/>
      <c r="D8" s="194"/>
      <c r="E8" t="s">
        <v>1816</v>
      </c>
    </row>
    <row r="9" spans="2:5" x14ac:dyDescent="0.25">
      <c r="B9" s="24" t="s">
        <v>1205</v>
      </c>
      <c r="C9" s="196" t="s">
        <v>1761</v>
      </c>
      <c r="D9" s="196" t="s">
        <v>1761</v>
      </c>
      <c r="E9" t="s">
        <v>1816</v>
      </c>
    </row>
    <row r="10" spans="2:5" x14ac:dyDescent="0.25">
      <c r="B10" s="24" t="s">
        <v>268</v>
      </c>
      <c r="C10" s="196"/>
      <c r="D10" s="196"/>
      <c r="E10" t="s">
        <v>1816</v>
      </c>
    </row>
    <row r="11" spans="2:5" x14ac:dyDescent="0.25">
      <c r="B11" s="24" t="s">
        <v>1722</v>
      </c>
      <c r="C11" s="196"/>
      <c r="D11" s="196"/>
      <c r="E11" t="s">
        <v>1816</v>
      </c>
    </row>
    <row r="12" spans="2:5" x14ac:dyDescent="0.25">
      <c r="B12" s="24" t="s">
        <v>1721</v>
      </c>
      <c r="C12" s="196"/>
      <c r="D12" s="196"/>
      <c r="E12" t="s">
        <v>1816</v>
      </c>
    </row>
    <row r="13" spans="2:5" x14ac:dyDescent="0.25">
      <c r="B13" s="24" t="s">
        <v>544</v>
      </c>
      <c r="C13" s="196"/>
      <c r="D13" s="196"/>
      <c r="E13" t="s">
        <v>1816</v>
      </c>
    </row>
    <row r="14" spans="2:5" x14ac:dyDescent="0.25">
      <c r="B14" s="24" t="s">
        <v>191</v>
      </c>
      <c r="C14" s="196"/>
      <c r="D14" s="196"/>
      <c r="E14" t="s">
        <v>1816</v>
      </c>
    </row>
    <row r="15" spans="2:5" x14ac:dyDescent="0.25">
      <c r="B15" s="24" t="s">
        <v>614</v>
      </c>
      <c r="C15" s="196"/>
      <c r="D15" s="196"/>
      <c r="E15" t="s">
        <v>1816</v>
      </c>
    </row>
    <row r="16" spans="2:5" x14ac:dyDescent="0.25">
      <c r="B16" s="24" t="s">
        <v>607</v>
      </c>
      <c r="C16" s="196"/>
      <c r="D16" s="196"/>
      <c r="E16" t="s">
        <v>1816</v>
      </c>
    </row>
    <row r="17" spans="2:5" x14ac:dyDescent="0.25">
      <c r="B17" s="24" t="s">
        <v>1702</v>
      </c>
      <c r="C17" s="196"/>
      <c r="D17" s="196"/>
      <c r="E17" t="s">
        <v>1816</v>
      </c>
    </row>
    <row r="18" spans="2:5" x14ac:dyDescent="0.25">
      <c r="B18" s="24" t="s">
        <v>889</v>
      </c>
      <c r="C18" s="196"/>
      <c r="D18" s="196"/>
      <c r="E18" t="s">
        <v>1816</v>
      </c>
    </row>
    <row r="19" spans="2:5" x14ac:dyDescent="0.25">
      <c r="B19" s="24" t="s">
        <v>1817</v>
      </c>
      <c r="C19" s="196"/>
      <c r="D19" s="196"/>
      <c r="E19" t="s">
        <v>1816</v>
      </c>
    </row>
    <row r="20" spans="2:5" x14ac:dyDescent="0.25">
      <c r="B20" s="24" t="s">
        <v>144</v>
      </c>
      <c r="C20" s="196"/>
      <c r="D20" s="196"/>
      <c r="E20" t="s">
        <v>1816</v>
      </c>
    </row>
    <row r="21" spans="2:5" x14ac:dyDescent="0.25">
      <c r="B21" s="109" t="s">
        <v>1205</v>
      </c>
      <c r="C21" s="197" t="s">
        <v>159</v>
      </c>
      <c r="D21" s="196"/>
      <c r="E21" t="s">
        <v>1816</v>
      </c>
    </row>
    <row r="22" spans="2:5" x14ac:dyDescent="0.25">
      <c r="B22" s="109" t="s">
        <v>708</v>
      </c>
      <c r="C22" s="197"/>
      <c r="D22" s="196"/>
      <c r="E22" t="s">
        <v>1816</v>
      </c>
    </row>
    <row r="23" spans="2:5" x14ac:dyDescent="0.25">
      <c r="B23" s="109" t="s">
        <v>1723</v>
      </c>
      <c r="C23" s="197"/>
      <c r="D23" s="196"/>
      <c r="E23" t="s">
        <v>1816</v>
      </c>
    </row>
    <row r="24" spans="2:5" x14ac:dyDescent="0.25">
      <c r="B24" s="109" t="s">
        <v>1818</v>
      </c>
      <c r="C24" s="197"/>
      <c r="D24" s="196"/>
      <c r="E24" t="s">
        <v>1816</v>
      </c>
    </row>
    <row r="25" spans="2:5" x14ac:dyDescent="0.25">
      <c r="B25" s="109" t="s">
        <v>159</v>
      </c>
      <c r="C25" s="197"/>
      <c r="D25" s="196"/>
      <c r="E25" t="s">
        <v>1816</v>
      </c>
    </row>
    <row r="26" spans="2:5" x14ac:dyDescent="0.25">
      <c r="B26" s="109" t="s">
        <v>1819</v>
      </c>
      <c r="C26" s="197"/>
      <c r="D26" s="196"/>
      <c r="E26" t="s">
        <v>1816</v>
      </c>
    </row>
    <row r="27" spans="2:5" x14ac:dyDescent="0.25">
      <c r="B27" s="162" t="s">
        <v>142</v>
      </c>
      <c r="C27" s="192" t="s">
        <v>666</v>
      </c>
      <c r="D27" s="192" t="s">
        <v>666</v>
      </c>
      <c r="E27" t="s">
        <v>1816</v>
      </c>
    </row>
    <row r="28" spans="2:5" x14ac:dyDescent="0.25">
      <c r="B28" s="162" t="s">
        <v>1717</v>
      </c>
      <c r="C28" s="192"/>
      <c r="D28" s="192"/>
      <c r="E28" t="s">
        <v>1816</v>
      </c>
    </row>
    <row r="29" spans="2:5" x14ac:dyDescent="0.25">
      <c r="B29" s="162" t="s">
        <v>475</v>
      </c>
      <c r="C29" s="192"/>
      <c r="D29" s="192"/>
      <c r="E29" t="s">
        <v>1816</v>
      </c>
    </row>
    <row r="30" spans="2:5" x14ac:dyDescent="0.25">
      <c r="B30" s="162" t="s">
        <v>1713</v>
      </c>
      <c r="C30" s="192"/>
      <c r="D30" s="192"/>
      <c r="E30" t="s">
        <v>1816</v>
      </c>
    </row>
    <row r="31" spans="2:5" x14ac:dyDescent="0.25">
      <c r="B31" s="162" t="s">
        <v>1701</v>
      </c>
      <c r="C31" s="192"/>
      <c r="D31" s="192"/>
      <c r="E31" t="s">
        <v>1816</v>
      </c>
    </row>
    <row r="32" spans="2:5" x14ac:dyDescent="0.25">
      <c r="B32" s="162" t="s">
        <v>1694</v>
      </c>
      <c r="C32" s="192"/>
      <c r="D32" s="192"/>
      <c r="E32" t="s">
        <v>1816</v>
      </c>
    </row>
    <row r="33" spans="2:5" x14ac:dyDescent="0.25">
      <c r="B33" s="162" t="s">
        <v>1720</v>
      </c>
      <c r="C33" s="192"/>
      <c r="D33" s="192"/>
      <c r="E33" t="s">
        <v>1816</v>
      </c>
    </row>
    <row r="34" spans="2:5" x14ac:dyDescent="0.25">
      <c r="B34" s="162" t="s">
        <v>1724</v>
      </c>
      <c r="C34" s="192"/>
      <c r="D34" s="192"/>
      <c r="E34" t="s">
        <v>1816</v>
      </c>
    </row>
    <row r="35" spans="2:5" x14ac:dyDescent="0.25">
      <c r="B35" s="162" t="s">
        <v>1715</v>
      </c>
      <c r="C35" s="192"/>
      <c r="D35" s="192"/>
      <c r="E35" t="s">
        <v>1816</v>
      </c>
    </row>
    <row r="36" spans="2:5" x14ac:dyDescent="0.25">
      <c r="B36" s="162" t="s">
        <v>666</v>
      </c>
      <c r="C36" s="192"/>
      <c r="D36" s="192"/>
      <c r="E36" t="s">
        <v>1816</v>
      </c>
    </row>
    <row r="37" spans="2:5" x14ac:dyDescent="0.25">
      <c r="B37" s="162" t="s">
        <v>650</v>
      </c>
      <c r="C37" s="192"/>
      <c r="D37" s="192"/>
      <c r="E37" t="s">
        <v>1816</v>
      </c>
    </row>
    <row r="38" spans="2:5" x14ac:dyDescent="0.25">
      <c r="B38" s="162" t="s">
        <v>966</v>
      </c>
      <c r="C38" s="192"/>
      <c r="D38" s="192"/>
      <c r="E38" t="s">
        <v>1816</v>
      </c>
    </row>
    <row r="39" spans="2:5" x14ac:dyDescent="0.25">
      <c r="B39" s="162" t="s">
        <v>474</v>
      </c>
      <c r="C39" s="192"/>
      <c r="D39" s="192"/>
      <c r="E39" t="s">
        <v>1816</v>
      </c>
    </row>
    <row r="40" spans="2:5" x14ac:dyDescent="0.25">
      <c r="B40" s="162" t="s">
        <v>1714</v>
      </c>
      <c r="C40" s="192"/>
      <c r="D40" s="192"/>
      <c r="E40" t="s">
        <v>1816</v>
      </c>
    </row>
    <row r="41" spans="2:5" x14ac:dyDescent="0.25">
      <c r="B41" s="162" t="s">
        <v>1719</v>
      </c>
      <c r="C41" s="192"/>
      <c r="D41" s="192"/>
      <c r="E41" t="s">
        <v>1816</v>
      </c>
    </row>
    <row r="42" spans="2:5" x14ac:dyDescent="0.25">
      <c r="B42" s="162" t="s">
        <v>190</v>
      </c>
      <c r="C42" s="192"/>
      <c r="D42" s="192"/>
      <c r="E42" t="s">
        <v>1816</v>
      </c>
    </row>
    <row r="43" spans="2:5" x14ac:dyDescent="0.25">
      <c r="B43" s="162" t="s">
        <v>1712</v>
      </c>
      <c r="C43" s="192"/>
      <c r="D43" s="192"/>
      <c r="E43" t="s">
        <v>1816</v>
      </c>
    </row>
    <row r="44" spans="2:5" x14ac:dyDescent="0.25">
      <c r="B44" s="162" t="s">
        <v>1710</v>
      </c>
      <c r="C44" s="192"/>
      <c r="D44" s="192"/>
      <c r="E44" t="s">
        <v>1816</v>
      </c>
    </row>
    <row r="45" spans="2:5" x14ac:dyDescent="0.25">
      <c r="B45" s="162" t="s">
        <v>316</v>
      </c>
      <c r="C45" s="192"/>
      <c r="D45" s="192"/>
      <c r="E45" t="s">
        <v>1816</v>
      </c>
    </row>
    <row r="46" spans="2:5" x14ac:dyDescent="0.25">
      <c r="B46" s="162" t="s">
        <v>281</v>
      </c>
      <c r="C46" s="192"/>
      <c r="D46" s="192"/>
      <c r="E46" t="s">
        <v>1816</v>
      </c>
    </row>
    <row r="47" spans="2:5" x14ac:dyDescent="0.25">
      <c r="B47" s="162" t="s">
        <v>1690</v>
      </c>
      <c r="C47" s="192"/>
      <c r="D47" s="192"/>
      <c r="E47" t="s">
        <v>1816</v>
      </c>
    </row>
    <row r="48" spans="2:5" x14ac:dyDescent="0.25">
      <c r="B48" s="163"/>
      <c r="C48" s="163" t="s">
        <v>1765</v>
      </c>
      <c r="D48" s="193" t="s">
        <v>727</v>
      </c>
      <c r="E48" t="s">
        <v>1820</v>
      </c>
    </row>
    <row r="49" spans="2:5" x14ac:dyDescent="0.25">
      <c r="B49" s="164"/>
      <c r="C49" s="164" t="s">
        <v>1762</v>
      </c>
      <c r="D49" s="193"/>
      <c r="E49" t="s">
        <v>1821</v>
      </c>
    </row>
    <row r="50" spans="2:5" x14ac:dyDescent="0.25">
      <c r="B50" s="163"/>
      <c r="C50" s="163" t="s">
        <v>1763</v>
      </c>
      <c r="D50" s="193"/>
      <c r="E50" t="s">
        <v>1822</v>
      </c>
    </row>
    <row r="51" spans="2:5" x14ac:dyDescent="0.25">
      <c r="B51" s="163"/>
      <c r="C51" s="164" t="s">
        <v>1823</v>
      </c>
      <c r="D51" s="193"/>
      <c r="E51" t="s">
        <v>1824</v>
      </c>
    </row>
  </sheetData>
  <mergeCells count="9">
    <mergeCell ref="C27:C47"/>
    <mergeCell ref="D27:D47"/>
    <mergeCell ref="D48:D51"/>
    <mergeCell ref="C2:C6"/>
    <mergeCell ref="D2:D8"/>
    <mergeCell ref="C7:C8"/>
    <mergeCell ref="C9:C20"/>
    <mergeCell ref="D9:D26"/>
    <mergeCell ref="C21:C2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J16" sqref="J16"/>
    </sheetView>
  </sheetViews>
  <sheetFormatPr defaultRowHeight="15" x14ac:dyDescent="0.25"/>
  <cols>
    <col min="2" max="2" width="16.42578125" style="5" customWidth="1"/>
    <col min="3" max="3" width="27.140625" style="5" customWidth="1"/>
    <col min="4" max="4" width="35.5703125" style="5" customWidth="1"/>
    <col min="5" max="5" width="24" style="5" customWidth="1"/>
  </cols>
  <sheetData>
    <row r="1" spans="2:5" s="1" customFormat="1" ht="21" customHeight="1" x14ac:dyDescent="0.25">
      <c r="B1" s="16" t="s">
        <v>1825</v>
      </c>
      <c r="C1" s="16" t="s">
        <v>1814</v>
      </c>
      <c r="D1" s="16" t="s">
        <v>1813</v>
      </c>
      <c r="E1" s="16" t="s">
        <v>1815</v>
      </c>
    </row>
    <row r="2" spans="2:5" x14ac:dyDescent="0.25">
      <c r="B2" s="138" t="s">
        <v>160</v>
      </c>
      <c r="C2" s="194" t="s">
        <v>160</v>
      </c>
      <c r="D2" s="196" t="s">
        <v>1826</v>
      </c>
      <c r="E2" s="5" t="s">
        <v>1826</v>
      </c>
    </row>
    <row r="3" spans="2:5" x14ac:dyDescent="0.25">
      <c r="B3" s="138" t="s">
        <v>895</v>
      </c>
      <c r="C3" s="194"/>
      <c r="D3" s="196"/>
      <c r="E3" s="5" t="s">
        <v>1826</v>
      </c>
    </row>
    <row r="4" spans="2:5" x14ac:dyDescent="0.25">
      <c r="B4" s="138" t="s">
        <v>1827</v>
      </c>
      <c r="C4" s="194"/>
      <c r="D4" s="196"/>
      <c r="E4" s="5" t="s">
        <v>1826</v>
      </c>
    </row>
    <row r="5" spans="2:5" x14ac:dyDescent="0.25">
      <c r="B5" s="23" t="s">
        <v>190</v>
      </c>
      <c r="C5" s="165" t="s">
        <v>190</v>
      </c>
      <c r="D5" s="196"/>
      <c r="E5" s="5" t="s">
        <v>1826</v>
      </c>
    </row>
    <row r="6" spans="2:5" x14ac:dyDescent="0.25">
      <c r="B6" s="23"/>
      <c r="C6" s="165"/>
      <c r="D6" s="196"/>
      <c r="E6" s="5" t="s">
        <v>1826</v>
      </c>
    </row>
    <row r="7" spans="2:5" x14ac:dyDescent="0.25">
      <c r="B7" s="166" t="s">
        <v>144</v>
      </c>
      <c r="C7" s="167" t="s">
        <v>144</v>
      </c>
      <c r="D7" s="196"/>
      <c r="E7" s="5" t="s">
        <v>1826</v>
      </c>
    </row>
    <row r="8" spans="2:5" x14ac:dyDescent="0.25">
      <c r="B8" s="166"/>
      <c r="C8" s="166"/>
      <c r="D8" s="196"/>
      <c r="E8" s="5" t="s">
        <v>1826</v>
      </c>
    </row>
    <row r="9" spans="2:5" x14ac:dyDescent="0.25">
      <c r="B9" s="64" t="s">
        <v>258</v>
      </c>
      <c r="C9" s="198" t="s">
        <v>1828</v>
      </c>
      <c r="D9" s="196"/>
      <c r="E9" s="5" t="s">
        <v>1826</v>
      </c>
    </row>
    <row r="10" spans="2:5" x14ac:dyDescent="0.25">
      <c r="B10" s="64" t="s">
        <v>673</v>
      </c>
      <c r="C10" s="198"/>
      <c r="D10" s="196"/>
      <c r="E10" s="5" t="s">
        <v>1826</v>
      </c>
    </row>
    <row r="11" spans="2:5" x14ac:dyDescent="0.25">
      <c r="B11" s="64" t="s">
        <v>267</v>
      </c>
      <c r="C11" s="198"/>
      <c r="D11" s="196"/>
      <c r="E11" s="5" t="s">
        <v>1826</v>
      </c>
    </row>
    <row r="12" spans="2:5" x14ac:dyDescent="0.25">
      <c r="B12" s="168"/>
      <c r="C12" s="168" t="s">
        <v>779</v>
      </c>
      <c r="D12" s="199" t="s">
        <v>1829</v>
      </c>
      <c r="E12" s="5" t="s">
        <v>1830</v>
      </c>
    </row>
    <row r="13" spans="2:5" x14ac:dyDescent="0.25">
      <c r="B13" s="168"/>
      <c r="C13" s="168" t="s">
        <v>1831</v>
      </c>
      <c r="D13" s="199"/>
      <c r="E13" s="5" t="s">
        <v>1830</v>
      </c>
    </row>
    <row r="14" spans="2:5" x14ac:dyDescent="0.25">
      <c r="B14" s="168"/>
      <c r="C14" s="168" t="s">
        <v>1832</v>
      </c>
      <c r="D14" s="199"/>
      <c r="E14" s="5" t="s">
        <v>1830</v>
      </c>
    </row>
    <row r="15" spans="2:5" x14ac:dyDescent="0.25">
      <c r="B15" s="168"/>
      <c r="C15" s="168" t="s">
        <v>1833</v>
      </c>
      <c r="D15" s="199"/>
      <c r="E15" s="5" t="s">
        <v>1830</v>
      </c>
    </row>
    <row r="16" spans="2:5" x14ac:dyDescent="0.25">
      <c r="B16" s="168"/>
      <c r="C16" s="168" t="s">
        <v>1834</v>
      </c>
      <c r="D16" s="199" t="s">
        <v>1835</v>
      </c>
      <c r="E16" s="5" t="s">
        <v>1830</v>
      </c>
    </row>
    <row r="17" spans="2:5" x14ac:dyDescent="0.25">
      <c r="B17" s="168"/>
      <c r="C17" s="168" t="s">
        <v>1836</v>
      </c>
      <c r="D17" s="199"/>
      <c r="E17" s="5" t="s">
        <v>1830</v>
      </c>
    </row>
    <row r="18" spans="2:5" x14ac:dyDescent="0.25">
      <c r="B18" s="168"/>
      <c r="C18" s="168" t="s">
        <v>1837</v>
      </c>
      <c r="D18" s="199"/>
      <c r="E18" s="5" t="s">
        <v>1830</v>
      </c>
    </row>
  </sheetData>
  <mergeCells count="5">
    <mergeCell ref="C2:C4"/>
    <mergeCell ref="D2:D11"/>
    <mergeCell ref="C9:C11"/>
    <mergeCell ref="D12:D15"/>
    <mergeCell ref="D16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J24" sqref="J24"/>
    </sheetView>
  </sheetViews>
  <sheetFormatPr defaultRowHeight="15" x14ac:dyDescent="0.25"/>
  <cols>
    <col min="2" max="2" width="15.85546875" customWidth="1"/>
    <col min="3" max="3" width="35.42578125" customWidth="1"/>
  </cols>
  <sheetData>
    <row r="1" spans="2:3" s="1" customFormat="1" ht="28.5" customHeight="1" x14ac:dyDescent="0.25">
      <c r="B1" s="1" t="s">
        <v>1872</v>
      </c>
      <c r="C1" s="1" t="s">
        <v>1815</v>
      </c>
    </row>
    <row r="2" spans="2:3" x14ac:dyDescent="0.25">
      <c r="B2" t="s">
        <v>1870</v>
      </c>
      <c r="C2" t="s">
        <v>1873</v>
      </c>
    </row>
    <row r="3" spans="2:3" x14ac:dyDescent="0.25">
      <c r="B3" t="s">
        <v>1871</v>
      </c>
      <c r="C3" t="s">
        <v>1873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6" sqref="D16"/>
    </sheetView>
  </sheetViews>
  <sheetFormatPr defaultRowHeight="15" x14ac:dyDescent="0.25"/>
  <cols>
    <col min="1" max="2" width="9.140625" style="5"/>
    <col min="3" max="3" width="7.5703125" style="5" customWidth="1"/>
    <col min="4" max="4" width="65.7109375" style="5" customWidth="1"/>
    <col min="5" max="9" width="9.140625" style="5"/>
  </cols>
  <sheetData>
    <row r="1" spans="1:9" s="1" customFormat="1" x14ac:dyDescent="0.25">
      <c r="A1" s="6" t="s">
        <v>1594</v>
      </c>
      <c r="B1" s="6" t="s">
        <v>137</v>
      </c>
      <c r="C1" s="6" t="s">
        <v>1596</v>
      </c>
      <c r="D1" s="6" t="s">
        <v>1595</v>
      </c>
      <c r="E1" s="6" t="s">
        <v>1618</v>
      </c>
      <c r="F1" s="6"/>
      <c r="G1" s="6"/>
      <c r="H1" s="6"/>
      <c r="I1" s="6"/>
    </row>
    <row r="2" spans="1:9" x14ac:dyDescent="0.25">
      <c r="A2" s="5">
        <v>1</v>
      </c>
      <c r="B2" s="5">
        <v>60</v>
      </c>
      <c r="C2" s="5" t="s">
        <v>1643</v>
      </c>
      <c r="D2" s="5" t="s">
        <v>1644</v>
      </c>
      <c r="E2" s="5" t="s">
        <v>1619</v>
      </c>
    </row>
    <row r="3" spans="1:9" x14ac:dyDescent="0.25">
      <c r="A3" s="5">
        <v>2</v>
      </c>
      <c r="D3" s="5" t="s">
        <v>1668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Expliantion</vt:lpstr>
      <vt:lpstr>Units convertion</vt:lpstr>
      <vt:lpstr>RsUnits</vt:lpstr>
      <vt:lpstr>SoilClassfication</vt:lpstr>
      <vt:lpstr>CoverCropGroup</vt:lpstr>
      <vt:lpstr>GrainCropGroup</vt:lpstr>
      <vt:lpstr>SD&amp;SE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2018-06-11T03:38:01Z</dcterms:modified>
</cp:coreProperties>
</file>